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tabRatio="857"/>
  </bookViews>
  <sheets>
    <sheet name="NL1" sheetId="1" r:id="rId1"/>
    <sheet name="NL2" sheetId="7" r:id="rId2"/>
    <sheet name="NL3" sheetId="8" r:id="rId3"/>
    <sheet name="NL4" sheetId="9" r:id="rId4"/>
    <sheet name="NL5" sheetId="10" r:id="rId5"/>
    <sheet name="NL6" sheetId="11" r:id="rId6"/>
    <sheet name="NL7" sheetId="12" r:id="rId7"/>
    <sheet name="NL10" sheetId="13" r:id="rId8"/>
    <sheet name="NL12" sheetId="14" r:id="rId9"/>
    <sheet name="NL13" sheetId="15" r:id="rId10"/>
    <sheet name="NL14" sheetId="16" r:id="rId11"/>
    <sheet name="NL15" sheetId="17" r:id="rId12"/>
    <sheet name="NL17" sheetId="18" r:id="rId13"/>
    <sheet name="NL23" sheetId="2" r:id="rId14"/>
    <sheet name="NL25" sheetId="3" r:id="rId15"/>
    <sheet name="NL30" sheetId="4" r:id="rId16"/>
    <sheet name="NL33" sheetId="5" r:id="rId17"/>
    <sheet name="NL40" sheetId="6" r:id="rId18"/>
  </sheets>
  <calcPr calcId="152511"/>
</workbook>
</file>

<file path=xl/calcChain.xml><?xml version="1.0" encoding="utf-8"?>
<calcChain xmlns="http://schemas.openxmlformats.org/spreadsheetml/2006/main">
  <c r="FJ15" i="2" l="1"/>
  <c r="FI15" i="2"/>
  <c r="FH15" i="2"/>
  <c r="FG15" i="2"/>
  <c r="FF15" i="2"/>
  <c r="AH7" i="8"/>
  <c r="Z7" i="8"/>
  <c r="DB15" i="2" l="1"/>
  <c r="DA15" i="2"/>
  <c r="CZ15" i="2"/>
  <c r="CY15" i="2"/>
  <c r="O15" i="2" l="1"/>
  <c r="N15" i="2"/>
  <c r="M15" i="2"/>
  <c r="L15" i="2"/>
  <c r="BQ14" i="1" l="1"/>
  <c r="BQ12" i="1"/>
  <c r="BQ11" i="1"/>
  <c r="BQ10" i="1"/>
  <c r="BQ9" i="1"/>
  <c r="BQ8" i="1"/>
  <c r="BQ6" i="1"/>
  <c r="BQ5" i="1"/>
  <c r="BP14" i="1"/>
  <c r="BP12" i="1"/>
  <c r="BP11" i="1"/>
  <c r="BP10" i="1"/>
  <c r="BP9" i="1"/>
  <c r="BP8" i="1"/>
  <c r="BP6" i="1"/>
  <c r="BP5" i="1"/>
  <c r="BQ24" i="7"/>
  <c r="BS24" i="7" s="1"/>
  <c r="BP24" i="7"/>
  <c r="BR24" i="7"/>
  <c r="BS22" i="7"/>
  <c r="BR22" i="7"/>
  <c r="BS20" i="7"/>
  <c r="BR20" i="7"/>
  <c r="BS19" i="7"/>
  <c r="BR19" i="7"/>
  <c r="BS18" i="7"/>
  <c r="BR18" i="7"/>
  <c r="BS16" i="7"/>
  <c r="BR16" i="7"/>
  <c r="BS14" i="7"/>
  <c r="BR14" i="7"/>
  <c r="BS13" i="7"/>
  <c r="BR13" i="7"/>
  <c r="BS12" i="7"/>
  <c r="BR12" i="7"/>
  <c r="BS11" i="7"/>
  <c r="BR11" i="7"/>
  <c r="BS10" i="7"/>
  <c r="BR10" i="7"/>
  <c r="BS8" i="7"/>
  <c r="BR8" i="7"/>
  <c r="BS7" i="7"/>
  <c r="BR7" i="7"/>
  <c r="BS6" i="7"/>
  <c r="BR6" i="7"/>
  <c r="BL24" i="7"/>
  <c r="BM24" i="7"/>
  <c r="AG7" i="8"/>
  <c r="AI7" i="8"/>
  <c r="BQ18" i="9"/>
  <c r="BQ17" i="9"/>
  <c r="BQ15" i="9"/>
  <c r="BQ19" i="9"/>
  <c r="BQ27" i="9"/>
  <c r="BQ26" i="9"/>
  <c r="BQ24" i="9"/>
  <c r="BQ28" i="9"/>
  <c r="BP27" i="9"/>
  <c r="BP26" i="9"/>
  <c r="BP24" i="9"/>
  <c r="BP28" i="9"/>
  <c r="BP18" i="9"/>
  <c r="BP17" i="9"/>
  <c r="BP15" i="9"/>
  <c r="BP19" i="9"/>
  <c r="BQ23" i="10"/>
  <c r="BQ22" i="10"/>
  <c r="BQ20" i="10"/>
  <c r="BQ19" i="10"/>
  <c r="BQ18" i="10"/>
  <c r="BQ17" i="10"/>
  <c r="BQ34" i="10"/>
  <c r="BQ33" i="10"/>
  <c r="BQ31" i="10"/>
  <c r="BQ30" i="10"/>
  <c r="BQ29" i="10"/>
  <c r="BQ28" i="10"/>
  <c r="BP34" i="10"/>
  <c r="BP33" i="10"/>
  <c r="BP31" i="10"/>
  <c r="BP29" i="10"/>
  <c r="BP28" i="10"/>
  <c r="BP23" i="10"/>
  <c r="BP20" i="10"/>
  <c r="BP18" i="10"/>
  <c r="BQ17" i="11"/>
  <c r="BQ16" i="11"/>
  <c r="BQ25" i="11"/>
  <c r="BQ24" i="11"/>
  <c r="BQ22" i="11"/>
  <c r="BP25" i="11"/>
  <c r="BP24" i="11"/>
  <c r="BP22" i="11"/>
  <c r="BP17" i="11"/>
  <c r="BP16" i="11"/>
  <c r="CR19" i="14"/>
  <c r="CQ19" i="14"/>
  <c r="FO15" i="2"/>
  <c r="FN15" i="2"/>
  <c r="FM15" i="2"/>
  <c r="FL15" i="2"/>
  <c r="FK15" i="2"/>
  <c r="FE15" i="2"/>
  <c r="FD15" i="2"/>
  <c r="FC15" i="2"/>
  <c r="FB15" i="2"/>
  <c r="FA15" i="2"/>
  <c r="DL11" i="2"/>
  <c r="DK11" i="2"/>
  <c r="DJ11" i="2"/>
  <c r="DI11" i="2"/>
  <c r="X10" i="15"/>
  <c r="BR13" i="14"/>
  <c r="X7" i="13"/>
  <c r="AU14" i="1"/>
  <c r="AU12" i="1"/>
  <c r="AU11" i="1"/>
  <c r="AU10" i="1"/>
  <c r="AU9" i="1"/>
  <c r="AU8" i="1"/>
  <c r="AU6" i="1"/>
  <c r="AU5" i="1"/>
  <c r="AT14" i="1"/>
  <c r="AT12" i="1"/>
  <c r="AT11" i="1"/>
  <c r="AT10" i="1"/>
  <c r="AT9" i="1"/>
  <c r="AT8" i="1"/>
  <c r="AT6" i="1"/>
  <c r="AT5" i="1"/>
  <c r="CI34" i="14" l="1"/>
  <c r="CI31" i="14"/>
  <c r="CH18" i="14"/>
  <c r="CH14" i="14"/>
  <c r="AD7" i="8"/>
  <c r="BG24" i="7"/>
  <c r="BF24" i="7"/>
  <c r="EP15" i="2"/>
  <c r="EO15" i="2"/>
  <c r="EN15" i="2"/>
  <c r="EM15" i="2"/>
  <c r="EL15" i="2"/>
  <c r="CH14" i="3"/>
  <c r="CJ14" i="3"/>
  <c r="EZ15" i="2" l="1"/>
  <c r="EY15" i="2"/>
  <c r="EX15" i="2"/>
  <c r="EW15" i="2"/>
  <c r="EV15" i="2"/>
  <c r="BK24" i="7"/>
  <c r="AW34" i="10" l="1"/>
  <c r="AW33" i="10"/>
  <c r="AW31" i="10"/>
  <c r="AW30" i="10"/>
  <c r="AW29" i="10"/>
  <c r="AW28" i="10"/>
  <c r="AV34" i="10"/>
  <c r="AV33" i="10"/>
  <c r="AV31" i="10"/>
  <c r="AV29" i="10"/>
  <c r="AV28" i="10"/>
  <c r="AW24" i="9"/>
  <c r="AW26" i="9"/>
  <c r="AW27" i="9"/>
  <c r="AW28" i="9"/>
  <c r="AV24" i="9"/>
  <c r="AV26" i="9"/>
  <c r="AV27" i="9"/>
  <c r="AV28" i="9"/>
  <c r="AW25" i="11"/>
  <c r="AW24" i="11"/>
  <c r="AW22" i="11"/>
  <c r="AV25" i="11"/>
  <c r="AV24" i="11"/>
  <c r="AV22" i="11"/>
  <c r="CD23" i="14"/>
  <c r="CF20" i="14"/>
  <c r="EK15" i="2"/>
  <c r="EJ15" i="2"/>
  <c r="EI15" i="2"/>
  <c r="EH15" i="2"/>
  <c r="EG15" i="2"/>
  <c r="EF15" i="2"/>
  <c r="EE15" i="2"/>
  <c r="ED15" i="2"/>
  <c r="EC15" i="2"/>
  <c r="EB15" i="2"/>
  <c r="DQ15" i="2"/>
  <c r="DP15" i="2"/>
  <c r="DO15" i="2"/>
  <c r="DN15" i="2"/>
  <c r="DM15" i="2"/>
  <c r="CC15" i="2"/>
  <c r="CB15" i="2"/>
  <c r="CA15" i="2"/>
  <c r="BZ15" i="2"/>
  <c r="BY15" i="2"/>
  <c r="BS15" i="2"/>
  <c r="BR15" i="2"/>
  <c r="BQ15" i="2"/>
  <c r="BP15" i="2"/>
  <c r="BO15" i="2"/>
  <c r="BN15" i="2"/>
  <c r="BM15" i="2"/>
  <c r="BL15" i="2"/>
  <c r="BK15" i="2"/>
  <c r="BJ15" i="2"/>
  <c r="AM19" i="14"/>
  <c r="AL19" i="14"/>
  <c r="AA25" i="11"/>
  <c r="AA24" i="11"/>
  <c r="AA22" i="11"/>
  <c r="Z25" i="11"/>
  <c r="Z24" i="11"/>
  <c r="Z22" i="11"/>
  <c r="AA17" i="11"/>
  <c r="AA16" i="11"/>
  <c r="AA14" i="11"/>
  <c r="Z17" i="11"/>
  <c r="Z16" i="11"/>
  <c r="Z14" i="11"/>
  <c r="AA34" i="10"/>
  <c r="AA33" i="10"/>
  <c r="AA31" i="10"/>
  <c r="AA30" i="10"/>
  <c r="AA29" i="10"/>
  <c r="AA28" i="10"/>
  <c r="Z34" i="10"/>
  <c r="Z33" i="10"/>
  <c r="Z31" i="10"/>
  <c r="Z30" i="10"/>
  <c r="Z29" i="10"/>
  <c r="Z28" i="10"/>
  <c r="AA23" i="10"/>
  <c r="AA22" i="10"/>
  <c r="AA20" i="10"/>
  <c r="AA19" i="10"/>
  <c r="AA18" i="10"/>
  <c r="AA17" i="10"/>
  <c r="Z23" i="10"/>
  <c r="Z22" i="10"/>
  <c r="Z20" i="10"/>
  <c r="Z19" i="10"/>
  <c r="Z18" i="10"/>
  <c r="Z17" i="10"/>
  <c r="AA28" i="9"/>
  <c r="Z28" i="9"/>
  <c r="AA27" i="9"/>
  <c r="Z27" i="9"/>
  <c r="AA26" i="9"/>
  <c r="Z26" i="9"/>
  <c r="AA24" i="9"/>
  <c r="Z24" i="9"/>
  <c r="AA19" i="9"/>
  <c r="Z19" i="9"/>
  <c r="AA18" i="9"/>
  <c r="Z18" i="9"/>
  <c r="AA17" i="9"/>
  <c r="Z17" i="9"/>
  <c r="AA15" i="9"/>
  <c r="Z15" i="9"/>
  <c r="BI15" i="2"/>
  <c r="BH15" i="2"/>
  <c r="BG15" i="2"/>
  <c r="BF15" i="2"/>
  <c r="BE15" i="2"/>
  <c r="AD29" i="14" l="1"/>
  <c r="AD22" i="14"/>
  <c r="AD13" i="14"/>
  <c r="AD6" i="14"/>
  <c r="AC29" i="14"/>
  <c r="AC22" i="14"/>
  <c r="AC13" i="14"/>
  <c r="AC6" i="14"/>
  <c r="K7" i="17" l="1"/>
  <c r="AC7" i="8" l="1"/>
  <c r="AB7" i="8"/>
  <c r="Y7" i="8"/>
  <c r="Q7" i="8"/>
  <c r="M14" i="8"/>
  <c r="N7" i="8"/>
  <c r="I7" i="8"/>
  <c r="EU15" i="2" l="1"/>
  <c r="ET15" i="2"/>
  <c r="ES15" i="2"/>
  <c r="ER15" i="2"/>
  <c r="EQ15" i="2"/>
  <c r="CR15" i="2"/>
  <c r="CQ15" i="2"/>
  <c r="CP15" i="2"/>
  <c r="CO15" i="2"/>
  <c r="CN15" i="2"/>
  <c r="CM15" i="2"/>
  <c r="CL15" i="2"/>
  <c r="CK15" i="2"/>
  <c r="CJ15" i="2"/>
  <c r="CI15" i="2"/>
  <c r="CG15" i="2"/>
  <c r="CH15" i="2"/>
  <c r="CF15" i="2"/>
  <c r="CE15" i="2"/>
  <c r="CD15" i="2"/>
  <c r="AI25" i="11"/>
  <c r="AI24" i="11"/>
  <c r="AI22" i="11"/>
  <c r="AH25" i="11"/>
  <c r="AH24" i="11"/>
  <c r="AH22" i="11"/>
  <c r="AI33" i="10"/>
  <c r="AI31" i="10"/>
  <c r="AI30" i="10"/>
  <c r="AI29" i="10"/>
  <c r="AI28" i="10"/>
  <c r="AI34" i="10"/>
  <c r="AH34" i="10"/>
  <c r="AH33" i="10"/>
  <c r="AH31" i="10"/>
  <c r="AH30" i="10"/>
  <c r="AH29" i="10"/>
  <c r="AH28" i="10"/>
  <c r="AI28" i="9"/>
  <c r="AI27" i="9"/>
  <c r="AI26" i="9"/>
  <c r="AI24" i="9"/>
  <c r="AH28" i="9"/>
  <c r="AH27" i="9"/>
  <c r="AH26" i="9"/>
  <c r="AH24" i="9"/>
  <c r="BX15" i="2"/>
  <c r="BW15" i="2"/>
  <c r="BV15" i="2"/>
  <c r="BU15" i="2"/>
  <c r="BT15" i="2"/>
  <c r="BD15" i="2"/>
  <c r="BC15" i="2"/>
  <c r="BB15" i="2"/>
  <c r="BA15" i="2"/>
  <c r="AZ15" i="2"/>
  <c r="W89" i="11"/>
  <c r="W88" i="11"/>
  <c r="W86" i="11"/>
  <c r="V89" i="11"/>
  <c r="V88" i="11"/>
  <c r="EG15" i="6" l="1"/>
  <c r="EF15" i="6"/>
  <c r="EE15" i="6"/>
  <c r="ED15" i="6"/>
  <c r="EC15" i="6"/>
  <c r="EB15" i="6"/>
  <c r="EA15" i="6"/>
  <c r="DZ15" i="6"/>
  <c r="DY15" i="6"/>
  <c r="DX15" i="6"/>
  <c r="DW15" i="6"/>
  <c r="DV15" i="6"/>
  <c r="DU15" i="6"/>
  <c r="DT15" i="6"/>
  <c r="DS15" i="6"/>
  <c r="DR15" i="6"/>
  <c r="DQ15" i="6"/>
  <c r="DP15" i="6"/>
  <c r="DO15" i="6"/>
  <c r="DN15" i="6"/>
  <c r="DM15" i="6"/>
  <c r="DL15" i="6"/>
  <c r="DK15" i="6"/>
  <c r="DJ15" i="6"/>
  <c r="DI15" i="6"/>
  <c r="DH15" i="6"/>
  <c r="DG15" i="6"/>
  <c r="DF15" i="6"/>
  <c r="DE15" i="6"/>
  <c r="DD15" i="6"/>
  <c r="DC15" i="6"/>
  <c r="DB15" i="6"/>
  <c r="DA15" i="6"/>
  <c r="CZ15" i="6"/>
  <c r="CY15" i="6"/>
  <c r="CX15" i="6"/>
  <c r="CW15" i="6"/>
  <c r="CV15" i="6"/>
  <c r="CU15" i="6"/>
  <c r="CT15" i="6"/>
  <c r="CS15" i="6"/>
  <c r="CR15" i="6"/>
  <c r="CQ15" i="6"/>
  <c r="CP15" i="6"/>
  <c r="CO15" i="6"/>
  <c r="CN15" i="6"/>
  <c r="CM15" i="6"/>
  <c r="CL15" i="6"/>
  <c r="CK15" i="6"/>
  <c r="CJ15" i="6"/>
  <c r="CI15" i="6"/>
  <c r="CH15" i="6"/>
  <c r="CG15" i="6"/>
  <c r="CF15" i="6"/>
  <c r="CE15" i="6"/>
  <c r="CD15" i="6"/>
  <c r="CC15" i="6"/>
  <c r="CB15" i="6"/>
  <c r="CA15" i="6"/>
  <c r="BZ15" i="6"/>
  <c r="BY15" i="6"/>
  <c r="BX15" i="6"/>
  <c r="BW15" i="6"/>
  <c r="BV15" i="6"/>
  <c r="BU15" i="6"/>
  <c r="BT15" i="6"/>
  <c r="BS15" i="6"/>
  <c r="BR15" i="6"/>
  <c r="BQ15" i="6"/>
  <c r="BP15" i="6"/>
  <c r="BO15" i="6"/>
  <c r="BN15" i="6"/>
  <c r="BM15" i="6"/>
  <c r="BL15" i="6"/>
  <c r="BK15" i="6"/>
  <c r="BJ15" i="6"/>
  <c r="BI15" i="6"/>
  <c r="BH15" i="6"/>
  <c r="BG15" i="6"/>
  <c r="BF15" i="6"/>
  <c r="BE15" i="6"/>
  <c r="BD15" i="6"/>
  <c r="BC15" i="6"/>
  <c r="BB15" i="6"/>
  <c r="BA15" i="6"/>
  <c r="AZ15" i="6"/>
  <c r="AY15" i="6"/>
  <c r="AX15" i="6"/>
  <c r="AW15" i="6"/>
  <c r="AV15" i="6"/>
  <c r="AU15" i="6"/>
  <c r="AT15" i="6"/>
  <c r="AS15" i="6"/>
  <c r="AR15" i="6"/>
  <c r="AQ15" i="6"/>
  <c r="AP15" i="6"/>
  <c r="AO15" i="6"/>
  <c r="AN15" i="6"/>
  <c r="AM15" i="6"/>
  <c r="AL15" i="6"/>
  <c r="AK15" i="6"/>
  <c r="AJ15" i="6"/>
  <c r="AI15" i="6"/>
  <c r="AH15" i="6"/>
  <c r="AG15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EG12" i="6"/>
  <c r="EF12" i="6"/>
  <c r="EE12" i="6"/>
  <c r="ED12" i="6"/>
  <c r="EC12" i="6"/>
  <c r="EB12" i="6"/>
  <c r="EA12" i="6"/>
  <c r="DZ12" i="6"/>
  <c r="DY12" i="6"/>
  <c r="DX12" i="6"/>
  <c r="DW12" i="6"/>
  <c r="DV12" i="6"/>
  <c r="DU12" i="6"/>
  <c r="DT12" i="6"/>
  <c r="DS12" i="6"/>
  <c r="DR12" i="6"/>
  <c r="DQ12" i="6"/>
  <c r="DP12" i="6"/>
  <c r="DO12" i="6"/>
  <c r="DN12" i="6"/>
  <c r="DM12" i="6"/>
  <c r="DL12" i="6"/>
  <c r="DK12" i="6"/>
  <c r="DJ12" i="6"/>
  <c r="DI12" i="6"/>
  <c r="DH12" i="6"/>
  <c r="DG12" i="6"/>
  <c r="DF12" i="6"/>
  <c r="DE12" i="6"/>
  <c r="DD12" i="6"/>
  <c r="DC12" i="6"/>
  <c r="DB12" i="6"/>
  <c r="DA12" i="6"/>
  <c r="CZ12" i="6"/>
  <c r="CY12" i="6"/>
  <c r="CX12" i="6"/>
  <c r="CW12" i="6"/>
  <c r="CV12" i="6"/>
  <c r="CU12" i="6"/>
  <c r="CT12" i="6"/>
  <c r="CS12" i="6"/>
  <c r="CR12" i="6"/>
  <c r="CQ12" i="6"/>
  <c r="CP12" i="6"/>
  <c r="CO12" i="6"/>
  <c r="CN12" i="6"/>
  <c r="CM12" i="6"/>
  <c r="CL12" i="6"/>
  <c r="CK12" i="6"/>
  <c r="CJ12" i="6"/>
  <c r="CI12" i="6"/>
  <c r="CH12" i="6"/>
  <c r="CG12" i="6"/>
  <c r="CF12" i="6"/>
  <c r="CE12" i="6"/>
  <c r="CD12" i="6"/>
  <c r="CC12" i="6"/>
  <c r="CB12" i="6"/>
  <c r="CA12" i="6"/>
  <c r="BZ12" i="6"/>
  <c r="BY12" i="6"/>
  <c r="BX12" i="6"/>
  <c r="BW12" i="6"/>
  <c r="BV12" i="6"/>
  <c r="BU12" i="6"/>
  <c r="BT12" i="6"/>
  <c r="BS12" i="6"/>
  <c r="BR12" i="6"/>
  <c r="BQ12" i="6"/>
  <c r="BP12" i="6"/>
  <c r="BO12" i="6"/>
  <c r="BN12" i="6"/>
  <c r="BM12" i="6"/>
  <c r="BL12" i="6"/>
  <c r="BK12" i="6"/>
  <c r="BJ12" i="6"/>
  <c r="BI12" i="6"/>
  <c r="BH12" i="6"/>
  <c r="BG12" i="6"/>
  <c r="BF12" i="6"/>
  <c r="BE12" i="6"/>
  <c r="BD12" i="6"/>
  <c r="BC12" i="6"/>
  <c r="BB12" i="6"/>
  <c r="BA12" i="6"/>
  <c r="AZ12" i="6"/>
  <c r="AY12" i="6"/>
  <c r="AX12" i="6"/>
  <c r="AW12" i="6"/>
  <c r="AV12" i="6"/>
  <c r="AU12" i="6"/>
  <c r="AT12" i="6"/>
  <c r="AS12" i="6"/>
  <c r="AR12" i="6"/>
  <c r="AQ12" i="6"/>
  <c r="AP12" i="6"/>
  <c r="AO12" i="6"/>
  <c r="AN12" i="6"/>
  <c r="AM12" i="6"/>
  <c r="AL12" i="6"/>
  <c r="AK12" i="6"/>
  <c r="AJ12" i="6"/>
  <c r="AI12" i="6"/>
  <c r="AH12" i="6"/>
  <c r="AG12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BE11" i="6"/>
  <c r="BD11" i="6"/>
  <c r="BC11" i="6"/>
  <c r="BB11" i="6"/>
  <c r="AG11" i="6"/>
  <c r="AF11" i="6"/>
  <c r="AD11" i="6"/>
  <c r="CX14" i="3"/>
  <c r="CU14" i="3"/>
  <c r="CR14" i="3"/>
  <c r="CO14" i="3"/>
  <c r="CL14" i="3"/>
  <c r="CI14" i="3"/>
  <c r="CF14" i="3"/>
  <c r="CC14" i="3"/>
  <c r="BW14" i="3"/>
  <c r="BT14" i="3"/>
  <c r="BQ14" i="3"/>
  <c r="BN14" i="3"/>
  <c r="BH14" i="3"/>
  <c r="BE14" i="3"/>
  <c r="BB14" i="3"/>
  <c r="AY14" i="3"/>
  <c r="AV14" i="3"/>
  <c r="AS14" i="3"/>
  <c r="AP14" i="3"/>
  <c r="AM14" i="3"/>
  <c r="AJ14" i="3"/>
  <c r="AG14" i="3"/>
  <c r="AD14" i="3"/>
  <c r="AA14" i="3"/>
  <c r="X14" i="3"/>
  <c r="U14" i="3"/>
  <c r="R14" i="3"/>
  <c r="O14" i="3"/>
  <c r="L14" i="3"/>
  <c r="I14" i="3"/>
  <c r="F14" i="3"/>
  <c r="C14" i="3"/>
  <c r="CX13" i="3"/>
  <c r="CU13" i="3"/>
  <c r="CR13" i="3"/>
  <c r="CO13" i="3"/>
  <c r="CL13" i="3"/>
  <c r="CI13" i="3"/>
  <c r="CF13" i="3"/>
  <c r="CC13" i="3"/>
  <c r="BW13" i="3"/>
  <c r="BT13" i="3"/>
  <c r="BQ13" i="3"/>
  <c r="BN13" i="3"/>
  <c r="BH13" i="3"/>
  <c r="BE13" i="3"/>
  <c r="BB13" i="3"/>
  <c r="AY13" i="3"/>
  <c r="AV13" i="3"/>
  <c r="AS13" i="3"/>
  <c r="AP13" i="3"/>
  <c r="AM13" i="3"/>
  <c r="AJ13" i="3"/>
  <c r="AG13" i="3"/>
  <c r="AD13" i="3"/>
  <c r="AA13" i="3"/>
  <c r="X13" i="3"/>
  <c r="U13" i="3"/>
  <c r="R13" i="3"/>
  <c r="O13" i="3"/>
  <c r="L13" i="3"/>
  <c r="I13" i="3"/>
  <c r="F13" i="3"/>
  <c r="C13" i="3"/>
  <c r="CX12" i="3"/>
  <c r="CU12" i="3"/>
  <c r="CR12" i="3"/>
  <c r="CO12" i="3"/>
  <c r="CL12" i="3"/>
  <c r="CI12" i="3"/>
  <c r="CF12" i="3"/>
  <c r="CC12" i="3"/>
  <c r="BZ12" i="3"/>
  <c r="BW12" i="3"/>
  <c r="BT12" i="3"/>
  <c r="BQ12" i="3"/>
  <c r="BN12" i="3"/>
  <c r="BH12" i="3"/>
  <c r="BE12" i="3"/>
  <c r="BB12" i="3"/>
  <c r="AY12" i="3"/>
  <c r="AV12" i="3"/>
  <c r="AS12" i="3"/>
  <c r="AP12" i="3"/>
  <c r="AM12" i="3"/>
  <c r="AJ12" i="3"/>
  <c r="AG12" i="3"/>
  <c r="AD12" i="3"/>
  <c r="AA12" i="3"/>
  <c r="X12" i="3"/>
  <c r="U12" i="3"/>
  <c r="R12" i="3"/>
  <c r="O12" i="3"/>
  <c r="L12" i="3"/>
  <c r="I12" i="3"/>
  <c r="F12" i="3"/>
  <c r="C12" i="3"/>
  <c r="CX11" i="3"/>
  <c r="CU11" i="3"/>
  <c r="CR11" i="3"/>
  <c r="CO11" i="3"/>
  <c r="CL11" i="3"/>
  <c r="CI11" i="3"/>
  <c r="CF11" i="3"/>
  <c r="CC11" i="3"/>
  <c r="BZ11" i="3"/>
  <c r="BW11" i="3"/>
  <c r="BT11" i="3"/>
  <c r="BQ11" i="3"/>
  <c r="BO11" i="3"/>
  <c r="BN11" i="3"/>
  <c r="BM11" i="3"/>
  <c r="BK11" i="3"/>
  <c r="BH11" i="3"/>
  <c r="BE11" i="3"/>
  <c r="BB11" i="3"/>
  <c r="AY11" i="3"/>
  <c r="AV11" i="3"/>
  <c r="AS11" i="3"/>
  <c r="AP11" i="3"/>
  <c r="AM11" i="3"/>
  <c r="AJ11" i="3"/>
  <c r="AG11" i="3"/>
  <c r="AD11" i="3"/>
  <c r="AA11" i="3"/>
  <c r="X11" i="3"/>
  <c r="U11" i="3"/>
  <c r="R11" i="3"/>
  <c r="O11" i="3"/>
  <c r="L11" i="3"/>
  <c r="I11" i="3"/>
  <c r="F11" i="3"/>
  <c r="C11" i="3"/>
  <c r="CX10" i="3"/>
  <c r="CU10" i="3"/>
  <c r="CR10" i="3"/>
  <c r="CO10" i="3"/>
  <c r="CL10" i="3"/>
  <c r="CI10" i="3"/>
  <c r="CF10" i="3"/>
  <c r="CC10" i="3"/>
  <c r="BZ10" i="3"/>
  <c r="BW10" i="3"/>
  <c r="BT10" i="3"/>
  <c r="BQ10" i="3"/>
  <c r="BN10" i="3"/>
  <c r="BK10" i="3"/>
  <c r="BH10" i="3"/>
  <c r="BE10" i="3"/>
  <c r="BB10" i="3"/>
  <c r="AY10" i="3"/>
  <c r="AV10" i="3"/>
  <c r="AS10" i="3"/>
  <c r="AP10" i="3"/>
  <c r="AM10" i="3"/>
  <c r="AJ10" i="3"/>
  <c r="AG10" i="3"/>
  <c r="AD10" i="3"/>
  <c r="AA10" i="3"/>
  <c r="X10" i="3"/>
  <c r="U10" i="3"/>
  <c r="R10" i="3"/>
  <c r="O10" i="3"/>
  <c r="L10" i="3"/>
  <c r="I10" i="3"/>
  <c r="F10" i="3"/>
  <c r="C10" i="3"/>
  <c r="CX9" i="3"/>
  <c r="CU9" i="3"/>
  <c r="CR9" i="3"/>
  <c r="CO9" i="3"/>
  <c r="CL9" i="3"/>
  <c r="CI9" i="3"/>
  <c r="CF9" i="3"/>
  <c r="CC9" i="3"/>
  <c r="BZ9" i="3"/>
  <c r="BW9" i="3"/>
  <c r="BT9" i="3"/>
  <c r="BQ9" i="3"/>
  <c r="BN9" i="3"/>
  <c r="BK9" i="3"/>
  <c r="BH9" i="3"/>
  <c r="BE9" i="3"/>
  <c r="BB9" i="3"/>
  <c r="AY9" i="3"/>
  <c r="AV9" i="3"/>
  <c r="AS9" i="3"/>
  <c r="AP9" i="3"/>
  <c r="AM9" i="3"/>
  <c r="AJ9" i="3"/>
  <c r="AG9" i="3"/>
  <c r="AD9" i="3"/>
  <c r="AA9" i="3"/>
  <c r="X9" i="3"/>
  <c r="U9" i="3"/>
  <c r="R9" i="3"/>
  <c r="O9" i="3"/>
  <c r="L9" i="3"/>
  <c r="I9" i="3"/>
  <c r="F9" i="3"/>
  <c r="C9" i="3"/>
  <c r="CX8" i="3"/>
  <c r="CU8" i="3"/>
  <c r="CR8" i="3"/>
  <c r="CO8" i="3"/>
  <c r="CL8" i="3"/>
  <c r="CI8" i="3"/>
  <c r="CF8" i="3"/>
  <c r="CC8" i="3"/>
  <c r="BZ8" i="3"/>
  <c r="BW8" i="3"/>
  <c r="BT8" i="3"/>
  <c r="BQ8" i="3"/>
  <c r="BN8" i="3"/>
  <c r="BK8" i="3"/>
  <c r="BH8" i="3"/>
  <c r="BE8" i="3"/>
  <c r="BB8" i="3"/>
  <c r="AY8" i="3"/>
  <c r="AV8" i="3"/>
  <c r="AS8" i="3"/>
  <c r="AP8" i="3"/>
  <c r="AM8" i="3"/>
  <c r="AJ8" i="3"/>
  <c r="AG8" i="3"/>
  <c r="AD8" i="3"/>
  <c r="AA8" i="3"/>
  <c r="X8" i="3"/>
  <c r="U8" i="3"/>
  <c r="R8" i="3"/>
  <c r="O8" i="3"/>
  <c r="L8" i="3"/>
  <c r="I8" i="3"/>
  <c r="F8" i="3"/>
  <c r="C8" i="3"/>
  <c r="CX7" i="3"/>
  <c r="CU7" i="3"/>
  <c r="CR7" i="3"/>
  <c r="CO7" i="3"/>
  <c r="CL7" i="3"/>
  <c r="CI7" i="3"/>
  <c r="CF7" i="3"/>
  <c r="CC7" i="3"/>
  <c r="BZ7" i="3"/>
  <c r="BW7" i="3"/>
  <c r="BT7" i="3"/>
  <c r="BQ7" i="3"/>
  <c r="BN7" i="3"/>
  <c r="BK7" i="3"/>
  <c r="BH7" i="3"/>
  <c r="BE7" i="3"/>
  <c r="BB7" i="3"/>
  <c r="AY7" i="3"/>
  <c r="AV7" i="3"/>
  <c r="AS7" i="3"/>
  <c r="AP7" i="3"/>
  <c r="AM7" i="3"/>
  <c r="AJ7" i="3"/>
  <c r="AG7" i="3"/>
  <c r="AD7" i="3"/>
  <c r="AA7" i="3"/>
  <c r="X7" i="3"/>
  <c r="U7" i="3"/>
  <c r="R7" i="3"/>
  <c r="O7" i="3"/>
  <c r="L7" i="3"/>
  <c r="I7" i="3"/>
  <c r="F7" i="3"/>
  <c r="C7" i="3"/>
  <c r="CX6" i="3"/>
  <c r="CU6" i="3"/>
  <c r="CR6" i="3"/>
  <c r="CO6" i="3"/>
  <c r="CL6" i="3"/>
  <c r="CI6" i="3"/>
  <c r="CF6" i="3"/>
  <c r="CC6" i="3"/>
  <c r="BZ6" i="3"/>
  <c r="BW6" i="3"/>
  <c r="BT6" i="3"/>
  <c r="BQ6" i="3"/>
  <c r="BN6" i="3"/>
  <c r="BK6" i="3"/>
  <c r="BH6" i="3"/>
  <c r="BE6" i="3"/>
  <c r="BB6" i="3"/>
  <c r="AY6" i="3"/>
  <c r="AV6" i="3"/>
  <c r="AS6" i="3"/>
  <c r="AP6" i="3"/>
  <c r="AM6" i="3"/>
  <c r="AJ6" i="3"/>
  <c r="AG6" i="3"/>
  <c r="AD6" i="3"/>
  <c r="AA6" i="3"/>
  <c r="X6" i="3"/>
  <c r="U6" i="3"/>
  <c r="R6" i="3"/>
  <c r="O6" i="3"/>
  <c r="L6" i="3"/>
  <c r="I6" i="3"/>
  <c r="F6" i="3"/>
  <c r="C6" i="3"/>
  <c r="CX5" i="3"/>
  <c r="CU5" i="3"/>
  <c r="CR5" i="3"/>
  <c r="CO5" i="3"/>
  <c r="CL5" i="3"/>
  <c r="CI5" i="3"/>
  <c r="CF5" i="3"/>
  <c r="CC5" i="3"/>
  <c r="BZ5" i="3"/>
  <c r="BW5" i="3"/>
  <c r="BT5" i="3"/>
  <c r="BQ5" i="3"/>
  <c r="BN5" i="3"/>
  <c r="BK5" i="3"/>
  <c r="BH5" i="3"/>
  <c r="BE5" i="3"/>
  <c r="BB5" i="3"/>
  <c r="AY5" i="3"/>
  <c r="AV5" i="3"/>
  <c r="AS5" i="3"/>
  <c r="AP5" i="3"/>
  <c r="AM5" i="3"/>
  <c r="AJ5" i="3"/>
  <c r="AG5" i="3"/>
  <c r="AD5" i="3"/>
  <c r="AA5" i="3"/>
  <c r="X5" i="3"/>
  <c r="U5" i="3"/>
  <c r="R5" i="3"/>
  <c r="O5" i="3"/>
  <c r="L5" i="3"/>
  <c r="I5" i="3"/>
  <c r="F5" i="3"/>
  <c r="C5" i="3"/>
  <c r="DV15" i="2"/>
  <c r="DU15" i="2"/>
  <c r="DT15" i="2"/>
  <c r="DS15" i="2"/>
  <c r="DR15" i="2"/>
  <c r="DG15" i="2"/>
  <c r="DF15" i="2"/>
  <c r="DE15" i="2"/>
  <c r="DD15" i="2"/>
  <c r="DC15" i="2"/>
  <c r="CW15" i="2"/>
  <c r="CV15" i="2"/>
  <c r="CU15" i="2"/>
  <c r="CT15" i="2"/>
  <c r="CS15" i="2"/>
  <c r="AY15" i="2"/>
  <c r="AX15" i="2"/>
  <c r="AW15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K15" i="2"/>
  <c r="J15" i="2"/>
  <c r="I15" i="2"/>
  <c r="H15" i="2"/>
  <c r="F15" i="2"/>
  <c r="E15" i="2"/>
  <c r="D15" i="2"/>
  <c r="C15" i="2"/>
  <c r="B15" i="2"/>
  <c r="AI14" i="18"/>
  <c r="AH14" i="18"/>
  <c r="AG14" i="18"/>
  <c r="AF14" i="18"/>
  <c r="AE14" i="18"/>
  <c r="AD14" i="18"/>
  <c r="AC14" i="18"/>
  <c r="AB14" i="18"/>
  <c r="AA14" i="18"/>
  <c r="Z14" i="18"/>
  <c r="Y14" i="18"/>
  <c r="X14" i="18"/>
  <c r="W14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F14" i="18"/>
  <c r="E14" i="18"/>
  <c r="D14" i="18"/>
  <c r="C14" i="18"/>
  <c r="B14" i="18"/>
  <c r="G11" i="18"/>
  <c r="G14" i="18" s="1"/>
  <c r="H9" i="18"/>
  <c r="H14" i="18" s="1"/>
  <c r="AI15" i="17"/>
  <c r="AH15" i="17"/>
  <c r="AG15" i="17"/>
  <c r="AF15" i="17"/>
  <c r="AE15" i="17"/>
  <c r="AD15" i="17"/>
  <c r="AC15" i="17"/>
  <c r="AB15" i="17"/>
  <c r="AA15" i="17"/>
  <c r="Z15" i="17"/>
  <c r="Y15" i="17"/>
  <c r="X15" i="17"/>
  <c r="W15" i="17"/>
  <c r="V15" i="17"/>
  <c r="U15" i="17"/>
  <c r="T15" i="17"/>
  <c r="S15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AI19" i="16"/>
  <c r="AH19" i="16"/>
  <c r="AG19" i="16"/>
  <c r="AF19" i="16"/>
  <c r="AE19" i="16"/>
  <c r="AD19" i="16"/>
  <c r="AC19" i="16"/>
  <c r="AB19" i="16"/>
  <c r="AA19" i="16"/>
  <c r="Z19" i="16"/>
  <c r="Y19" i="16"/>
  <c r="X19" i="16"/>
  <c r="W19" i="16"/>
  <c r="V19" i="16"/>
  <c r="U19" i="16"/>
  <c r="T19" i="16"/>
  <c r="S19" i="16"/>
  <c r="R19" i="16"/>
  <c r="Q19" i="16"/>
  <c r="P19" i="16"/>
  <c r="O19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B19" i="16"/>
  <c r="AJ18" i="16"/>
  <c r="AJ17" i="16"/>
  <c r="AJ16" i="16"/>
  <c r="AI15" i="16"/>
  <c r="AH15" i="16"/>
  <c r="AG15" i="16"/>
  <c r="AF15" i="16"/>
  <c r="AE15" i="16"/>
  <c r="AD15" i="16"/>
  <c r="AC15" i="16"/>
  <c r="AB15" i="16"/>
  <c r="AA15" i="16"/>
  <c r="Z15" i="16"/>
  <c r="Y15" i="16"/>
  <c r="X15" i="16"/>
  <c r="W15" i="16"/>
  <c r="V15" i="16"/>
  <c r="U15" i="16"/>
  <c r="T15" i="16"/>
  <c r="S15" i="16"/>
  <c r="R15" i="16"/>
  <c r="Q15" i="16"/>
  <c r="P15" i="16"/>
  <c r="O15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B15" i="16"/>
  <c r="AJ14" i="16"/>
  <c r="AJ13" i="16"/>
  <c r="AJ12" i="16"/>
  <c r="AJ11" i="16"/>
  <c r="U11" i="16"/>
  <c r="AJ10" i="16"/>
  <c r="AJ9" i="16"/>
  <c r="AJ8" i="16"/>
  <c r="AJ7" i="16"/>
  <c r="AJ6" i="16"/>
  <c r="AJ5" i="16"/>
  <c r="E5" i="16"/>
  <c r="AJ4" i="16"/>
  <c r="AI32" i="15"/>
  <c r="AH32" i="15"/>
  <c r="AG32" i="15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J31" i="15"/>
  <c r="AJ30" i="15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J27" i="15"/>
  <c r="AJ26" i="15"/>
  <c r="AJ25" i="15"/>
  <c r="AJ24" i="15"/>
  <c r="AJ23" i="15"/>
  <c r="AJ22" i="15"/>
  <c r="AJ21" i="15"/>
  <c r="AI19" i="15"/>
  <c r="AH19" i="15"/>
  <c r="AG19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J18" i="15"/>
  <c r="AJ17" i="15"/>
  <c r="AJ16" i="15"/>
  <c r="AJ15" i="15"/>
  <c r="AJ14" i="15"/>
  <c r="AI12" i="15"/>
  <c r="AH12" i="15"/>
  <c r="AG12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J11" i="15"/>
  <c r="AJ10" i="15"/>
  <c r="AJ9" i="15"/>
  <c r="AJ8" i="15"/>
  <c r="AJ7" i="15"/>
  <c r="AJ6" i="15"/>
  <c r="AJ5" i="15"/>
  <c r="CU37" i="14"/>
  <c r="CT37" i="14"/>
  <c r="CM37" i="14"/>
  <c r="CL37" i="14"/>
  <c r="CK37" i="14"/>
  <c r="CC37" i="14"/>
  <c r="CB37" i="14"/>
  <c r="CA37" i="14"/>
  <c r="BZ37" i="14"/>
  <c r="BY37" i="14"/>
  <c r="BX37" i="14"/>
  <c r="BW37" i="14"/>
  <c r="BV37" i="14"/>
  <c r="BQ37" i="14"/>
  <c r="BP37" i="14"/>
  <c r="BO37" i="14"/>
  <c r="BN37" i="14"/>
  <c r="BM37" i="14"/>
  <c r="BJ37" i="14"/>
  <c r="BI37" i="14"/>
  <c r="BH37" i="14"/>
  <c r="BG37" i="14"/>
  <c r="BF37" i="14"/>
  <c r="BE37" i="14"/>
  <c r="BD37" i="14"/>
  <c r="BC37" i="14"/>
  <c r="BB37" i="14"/>
  <c r="BA37" i="14"/>
  <c r="AZ37" i="14"/>
  <c r="AY37" i="14"/>
  <c r="AX37" i="14"/>
  <c r="AT37" i="14"/>
  <c r="AS37" i="14"/>
  <c r="AR37" i="14"/>
  <c r="AH37" i="14"/>
  <c r="AG37" i="14"/>
  <c r="AF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I37" i="14"/>
  <c r="H37" i="14"/>
  <c r="G37" i="14"/>
  <c r="F37" i="14"/>
  <c r="E37" i="14"/>
  <c r="D37" i="14"/>
  <c r="C37" i="14"/>
  <c r="B37" i="14"/>
  <c r="CX36" i="14"/>
  <c r="CW36" i="14"/>
  <c r="CV36" i="14"/>
  <c r="CU36" i="14"/>
  <c r="CT36" i="14"/>
  <c r="CR36" i="14"/>
  <c r="CQ36" i="14"/>
  <c r="CO36" i="14"/>
  <c r="CN36" i="14"/>
  <c r="CM36" i="14"/>
  <c r="CL36" i="14"/>
  <c r="CK36" i="14"/>
  <c r="CI36" i="14"/>
  <c r="CH36" i="14"/>
  <c r="CF36" i="14"/>
  <c r="CE36" i="14"/>
  <c r="CD36" i="14"/>
  <c r="CC36" i="14"/>
  <c r="CB36" i="14"/>
  <c r="CA36" i="14"/>
  <c r="BZ36" i="14"/>
  <c r="BY36" i="14"/>
  <c r="BX36" i="14"/>
  <c r="BW36" i="14"/>
  <c r="BV36" i="14"/>
  <c r="BT36" i="14"/>
  <c r="BS36" i="14"/>
  <c r="BR36" i="14"/>
  <c r="BQ36" i="14"/>
  <c r="BP36" i="14"/>
  <c r="BO36" i="14"/>
  <c r="BN36" i="14"/>
  <c r="BM36" i="14"/>
  <c r="BK36" i="14"/>
  <c r="BJ36" i="14"/>
  <c r="BI36" i="14"/>
  <c r="BH36" i="14"/>
  <c r="BG36" i="14"/>
  <c r="BF36" i="14"/>
  <c r="BE36" i="14"/>
  <c r="BD36" i="14"/>
  <c r="BC36" i="14"/>
  <c r="BB36" i="14"/>
  <c r="BA36" i="14"/>
  <c r="AZ36" i="14"/>
  <c r="AY36" i="14"/>
  <c r="AX36" i="14"/>
  <c r="AV36" i="14"/>
  <c r="AV37" i="14" s="1"/>
  <c r="AU36" i="14"/>
  <c r="AT36" i="14"/>
  <c r="AS36" i="14"/>
  <c r="AR36" i="14"/>
  <c r="AP36" i="14"/>
  <c r="AO36" i="14"/>
  <c r="AM36" i="14"/>
  <c r="AL36" i="14"/>
  <c r="AJ36" i="14"/>
  <c r="AI36" i="14"/>
  <c r="AH36" i="14"/>
  <c r="AG36" i="14"/>
  <c r="AF36" i="14"/>
  <c r="AD36" i="14"/>
  <c r="AC36" i="14"/>
  <c r="AA36" i="14"/>
  <c r="Z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CY35" i="14"/>
  <c r="CS35" i="14"/>
  <c r="CP35" i="14"/>
  <c r="CM35" i="14"/>
  <c r="CJ35" i="14"/>
  <c r="CG35" i="14"/>
  <c r="CA35" i="14"/>
  <c r="BX35" i="14"/>
  <c r="BW35" i="14"/>
  <c r="BV35" i="14"/>
  <c r="BU35" i="14"/>
  <c r="BR35" i="14"/>
  <c r="BO35" i="14"/>
  <c r="BL35" i="14"/>
  <c r="BI35" i="14"/>
  <c r="BF35" i="14"/>
  <c r="BC35" i="14"/>
  <c r="AZ35" i="14"/>
  <c r="AW35" i="14"/>
  <c r="AT35" i="14"/>
  <c r="AS35" i="14"/>
  <c r="AR35" i="14"/>
  <c r="AQ35" i="14"/>
  <c r="AN35" i="14"/>
  <c r="AK35" i="14"/>
  <c r="AH35" i="14"/>
  <c r="AE35" i="14"/>
  <c r="AB35" i="14"/>
  <c r="Y35" i="14"/>
  <c r="V35" i="14"/>
  <c r="S35" i="14"/>
  <c r="R35" i="14"/>
  <c r="Q35" i="14"/>
  <c r="P35" i="14"/>
  <c r="M35" i="14"/>
  <c r="G35" i="14"/>
  <c r="D35" i="14"/>
  <c r="CY34" i="14"/>
  <c r="CS34" i="14"/>
  <c r="CP34" i="14"/>
  <c r="CM34" i="14"/>
  <c r="CJ34" i="14"/>
  <c r="CG34" i="14"/>
  <c r="CA34" i="14"/>
  <c r="BX34" i="14"/>
  <c r="BU34" i="14"/>
  <c r="BO34" i="14"/>
  <c r="BL34" i="14"/>
  <c r="BI34" i="14"/>
  <c r="BF34" i="14"/>
  <c r="BC34" i="14"/>
  <c r="AZ34" i="14"/>
  <c r="AW34" i="14"/>
  <c r="AT34" i="14"/>
  <c r="AQ34" i="14"/>
  <c r="AN34" i="14"/>
  <c r="AK34" i="14"/>
  <c r="AH34" i="14"/>
  <c r="AE34" i="14"/>
  <c r="AB34" i="14"/>
  <c r="Y34" i="14"/>
  <c r="V34" i="14"/>
  <c r="S34" i="14"/>
  <c r="P34" i="14"/>
  <c r="M34" i="14"/>
  <c r="G34" i="14"/>
  <c r="F34" i="14"/>
  <c r="D34" i="14"/>
  <c r="C34" i="14"/>
  <c r="B34" i="14"/>
  <c r="CY33" i="14"/>
  <c r="CV33" i="14"/>
  <c r="CS33" i="14"/>
  <c r="CP33" i="14"/>
  <c r="CM33" i="14"/>
  <c r="CJ33" i="14"/>
  <c r="CG33" i="14"/>
  <c r="CD33" i="14"/>
  <c r="CA33" i="14"/>
  <c r="BX33" i="14"/>
  <c r="BU33" i="14"/>
  <c r="BR33" i="14"/>
  <c r="BO33" i="14"/>
  <c r="BL33" i="14"/>
  <c r="BI33" i="14"/>
  <c r="BF33" i="14"/>
  <c r="BC33" i="14"/>
  <c r="AZ33" i="14"/>
  <c r="AW33" i="14"/>
  <c r="AT33" i="14"/>
  <c r="AQ33" i="14"/>
  <c r="AN33" i="14"/>
  <c r="AK33" i="14"/>
  <c r="AH33" i="14"/>
  <c r="AE33" i="14"/>
  <c r="AB33" i="14"/>
  <c r="Y33" i="14"/>
  <c r="V33" i="14"/>
  <c r="S33" i="14"/>
  <c r="P33" i="14"/>
  <c r="M33" i="14"/>
  <c r="J33" i="14"/>
  <c r="G33" i="14"/>
  <c r="D33" i="14"/>
  <c r="CY32" i="14"/>
  <c r="CV32" i="14"/>
  <c r="CS32" i="14"/>
  <c r="CP32" i="14"/>
  <c r="CM32" i="14"/>
  <c r="CJ32" i="14"/>
  <c r="CG32" i="14"/>
  <c r="CD32" i="14"/>
  <c r="CA32" i="14"/>
  <c r="BX32" i="14"/>
  <c r="BU32" i="14"/>
  <c r="BR32" i="14"/>
  <c r="BO32" i="14"/>
  <c r="BL32" i="14"/>
  <c r="BI32" i="14"/>
  <c r="BF32" i="14"/>
  <c r="BC32" i="14"/>
  <c r="AZ32" i="14"/>
  <c r="AW32" i="14"/>
  <c r="AT32" i="14"/>
  <c r="AQ32" i="14"/>
  <c r="AN32" i="14"/>
  <c r="AK32" i="14"/>
  <c r="AH32" i="14"/>
  <c r="AE32" i="14"/>
  <c r="AB32" i="14"/>
  <c r="Y32" i="14"/>
  <c r="V32" i="14"/>
  <c r="S32" i="14"/>
  <c r="P32" i="14"/>
  <c r="M32" i="14"/>
  <c r="J32" i="14"/>
  <c r="G32" i="14"/>
  <c r="D32" i="14"/>
  <c r="CY31" i="14"/>
  <c r="CV31" i="14"/>
  <c r="CS31" i="14"/>
  <c r="CP31" i="14"/>
  <c r="CM31" i="14"/>
  <c r="CJ31" i="14"/>
  <c r="CG31" i="14"/>
  <c r="CD31" i="14"/>
  <c r="CA31" i="14"/>
  <c r="BX31" i="14"/>
  <c r="BU31" i="14"/>
  <c r="BR31" i="14"/>
  <c r="BO31" i="14"/>
  <c r="BL31" i="14"/>
  <c r="BI31" i="14"/>
  <c r="BF31" i="14"/>
  <c r="BC31" i="14"/>
  <c r="AZ31" i="14"/>
  <c r="AW31" i="14"/>
  <c r="AT31" i="14"/>
  <c r="AQ31" i="14"/>
  <c r="AN31" i="14"/>
  <c r="AK31" i="14"/>
  <c r="AH31" i="14"/>
  <c r="AE31" i="14"/>
  <c r="AB31" i="14"/>
  <c r="Y31" i="14"/>
  <c r="V31" i="14"/>
  <c r="S31" i="14"/>
  <c r="P31" i="14"/>
  <c r="M31" i="14"/>
  <c r="G31" i="14"/>
  <c r="D31" i="14"/>
  <c r="CY30" i="14"/>
  <c r="CV30" i="14"/>
  <c r="CS30" i="14"/>
  <c r="CP30" i="14"/>
  <c r="CM30" i="14"/>
  <c r="CJ30" i="14"/>
  <c r="CG30" i="14"/>
  <c r="CD30" i="14"/>
  <c r="CA30" i="14"/>
  <c r="BX30" i="14"/>
  <c r="BU30" i="14"/>
  <c r="BR30" i="14"/>
  <c r="BO30" i="14"/>
  <c r="BL30" i="14"/>
  <c r="BI30" i="14"/>
  <c r="BF30" i="14"/>
  <c r="BC30" i="14"/>
  <c r="AZ30" i="14"/>
  <c r="AW30" i="14"/>
  <c r="AT30" i="14"/>
  <c r="AQ30" i="14"/>
  <c r="AN30" i="14"/>
  <c r="AK30" i="14"/>
  <c r="AH30" i="14"/>
  <c r="AE30" i="14"/>
  <c r="AB30" i="14"/>
  <c r="Y30" i="14"/>
  <c r="V30" i="14"/>
  <c r="S30" i="14"/>
  <c r="P30" i="14"/>
  <c r="M30" i="14"/>
  <c r="J30" i="14"/>
  <c r="G30" i="14"/>
  <c r="D30" i="14"/>
  <c r="CY29" i="14"/>
  <c r="CS29" i="14"/>
  <c r="CP29" i="14"/>
  <c r="CM29" i="14"/>
  <c r="CJ29" i="14"/>
  <c r="CG29" i="14"/>
  <c r="CA29" i="14"/>
  <c r="BX29" i="14"/>
  <c r="BU29" i="14"/>
  <c r="BO29" i="14"/>
  <c r="BL29" i="14"/>
  <c r="BI29" i="14"/>
  <c r="BF29" i="14"/>
  <c r="BC29" i="14"/>
  <c r="AZ29" i="14"/>
  <c r="AW29" i="14"/>
  <c r="AT29" i="14"/>
  <c r="AQ29" i="14"/>
  <c r="AN29" i="14"/>
  <c r="AK29" i="14"/>
  <c r="AH29" i="14"/>
  <c r="AE29" i="14"/>
  <c r="AB29" i="14"/>
  <c r="Y29" i="14"/>
  <c r="V29" i="14"/>
  <c r="S29" i="14"/>
  <c r="P29" i="14"/>
  <c r="M29" i="14"/>
  <c r="G29" i="14"/>
  <c r="D29" i="14"/>
  <c r="CY28" i="14"/>
  <c r="CS28" i="14"/>
  <c r="CP28" i="14"/>
  <c r="CM28" i="14"/>
  <c r="CJ28" i="14"/>
  <c r="CG28" i="14"/>
  <c r="CA28" i="14"/>
  <c r="BX28" i="14"/>
  <c r="BU28" i="14"/>
  <c r="BO28" i="14"/>
  <c r="BL28" i="14"/>
  <c r="BI28" i="14"/>
  <c r="BF28" i="14"/>
  <c r="BC28" i="14"/>
  <c r="AZ28" i="14"/>
  <c r="AW28" i="14"/>
  <c r="AW36" i="14" s="1"/>
  <c r="AT28" i="14"/>
  <c r="AQ28" i="14"/>
  <c r="AN28" i="14"/>
  <c r="AK28" i="14"/>
  <c r="AH28" i="14"/>
  <c r="AE28" i="14"/>
  <c r="AB28" i="14"/>
  <c r="Y28" i="14"/>
  <c r="V28" i="14"/>
  <c r="S28" i="14"/>
  <c r="P28" i="14"/>
  <c r="M28" i="14"/>
  <c r="G28" i="14"/>
  <c r="D28" i="14"/>
  <c r="CY27" i="14"/>
  <c r="CV27" i="14"/>
  <c r="CS27" i="14"/>
  <c r="CP27" i="14"/>
  <c r="CM27" i="14"/>
  <c r="CJ27" i="14"/>
  <c r="CG27" i="14"/>
  <c r="CD27" i="14"/>
  <c r="CA27" i="14"/>
  <c r="BX27" i="14"/>
  <c r="BU27" i="14"/>
  <c r="BO27" i="14"/>
  <c r="BL27" i="14"/>
  <c r="BI27" i="14"/>
  <c r="BF27" i="14"/>
  <c r="BC27" i="14"/>
  <c r="AZ27" i="14"/>
  <c r="AW27" i="14"/>
  <c r="AT27" i="14"/>
  <c r="AQ27" i="14"/>
  <c r="AN27" i="14"/>
  <c r="AK27" i="14"/>
  <c r="AH27" i="14"/>
  <c r="AE27" i="14"/>
  <c r="AB27" i="14"/>
  <c r="Y27" i="14"/>
  <c r="V27" i="14"/>
  <c r="S27" i="14"/>
  <c r="P27" i="14"/>
  <c r="M27" i="14"/>
  <c r="J27" i="14"/>
  <c r="G27" i="14"/>
  <c r="D27" i="14"/>
  <c r="CY26" i="14"/>
  <c r="CV26" i="14"/>
  <c r="CS26" i="14"/>
  <c r="CP26" i="14"/>
  <c r="CM26" i="14"/>
  <c r="CJ26" i="14"/>
  <c r="CG26" i="14"/>
  <c r="CD26" i="14"/>
  <c r="CA26" i="14"/>
  <c r="BX26" i="14"/>
  <c r="BU26" i="14"/>
  <c r="BR26" i="14"/>
  <c r="BO26" i="14"/>
  <c r="BL26" i="14"/>
  <c r="BI26" i="14"/>
  <c r="BF26" i="14"/>
  <c r="BC26" i="14"/>
  <c r="AZ26" i="14"/>
  <c r="AW26" i="14"/>
  <c r="AT26" i="14"/>
  <c r="AQ26" i="14"/>
  <c r="AN26" i="14"/>
  <c r="AK26" i="14"/>
  <c r="AH26" i="14"/>
  <c r="AE26" i="14"/>
  <c r="AB26" i="14"/>
  <c r="Y26" i="14"/>
  <c r="V26" i="14"/>
  <c r="S26" i="14"/>
  <c r="P26" i="14"/>
  <c r="M26" i="14"/>
  <c r="J26" i="14"/>
  <c r="G26" i="14"/>
  <c r="D26" i="14"/>
  <c r="CY25" i="14"/>
  <c r="CV25" i="14"/>
  <c r="CS25" i="14"/>
  <c r="CP25" i="14"/>
  <c r="CM25" i="14"/>
  <c r="CJ25" i="14"/>
  <c r="CG25" i="14"/>
  <c r="CD25" i="14"/>
  <c r="CA25" i="14"/>
  <c r="BX25" i="14"/>
  <c r="BU25" i="14"/>
  <c r="BR25" i="14"/>
  <c r="BO25" i="14"/>
  <c r="BL25" i="14"/>
  <c r="BI25" i="14"/>
  <c r="BF25" i="14"/>
  <c r="BC25" i="14"/>
  <c r="AZ25" i="14"/>
  <c r="AW25" i="14"/>
  <c r="AT25" i="14"/>
  <c r="AQ25" i="14"/>
  <c r="AN25" i="14"/>
  <c r="AK25" i="14"/>
  <c r="AH25" i="14"/>
  <c r="AE25" i="14"/>
  <c r="AB25" i="14"/>
  <c r="Y25" i="14"/>
  <c r="V25" i="14"/>
  <c r="S25" i="14"/>
  <c r="P25" i="14"/>
  <c r="M25" i="14"/>
  <c r="J25" i="14"/>
  <c r="G25" i="14"/>
  <c r="D25" i="14"/>
  <c r="CY24" i="14"/>
  <c r="CV24" i="14"/>
  <c r="CS24" i="14"/>
  <c r="CP24" i="14"/>
  <c r="CM24" i="14"/>
  <c r="CJ24" i="14"/>
  <c r="CG24" i="14"/>
  <c r="CD24" i="14"/>
  <c r="CA24" i="14"/>
  <c r="BX24" i="14"/>
  <c r="BU24" i="14"/>
  <c r="BR24" i="14"/>
  <c r="BO24" i="14"/>
  <c r="BL24" i="14"/>
  <c r="BI24" i="14"/>
  <c r="BF24" i="14"/>
  <c r="BC24" i="14"/>
  <c r="AZ24" i="14"/>
  <c r="AW24" i="14"/>
  <c r="AT24" i="14"/>
  <c r="AQ24" i="14"/>
  <c r="AN24" i="14"/>
  <c r="AK24" i="14"/>
  <c r="AH24" i="14"/>
  <c r="AE24" i="14"/>
  <c r="AB24" i="14"/>
  <c r="Y24" i="14"/>
  <c r="V24" i="14"/>
  <c r="S24" i="14"/>
  <c r="P24" i="14"/>
  <c r="M24" i="14"/>
  <c r="J24" i="14"/>
  <c r="G24" i="14"/>
  <c r="D24" i="14"/>
  <c r="CY23" i="14"/>
  <c r="CV23" i="14"/>
  <c r="CP23" i="14"/>
  <c r="CM23" i="14"/>
  <c r="CJ23" i="14"/>
  <c r="CG23" i="14"/>
  <c r="CA23" i="14"/>
  <c r="BX23" i="14"/>
  <c r="BU23" i="14"/>
  <c r="BR23" i="14"/>
  <c r="BO23" i="14"/>
  <c r="BL23" i="14"/>
  <c r="BI23" i="14"/>
  <c r="BF23" i="14"/>
  <c r="BC23" i="14"/>
  <c r="AZ23" i="14"/>
  <c r="AW23" i="14"/>
  <c r="AT23" i="14"/>
  <c r="AQ23" i="14"/>
  <c r="AN23" i="14"/>
  <c r="AK23" i="14"/>
  <c r="AH23" i="14"/>
  <c r="AE23" i="14"/>
  <c r="AB23" i="14"/>
  <c r="Y23" i="14"/>
  <c r="V23" i="14"/>
  <c r="S23" i="14"/>
  <c r="P23" i="14"/>
  <c r="M23" i="14"/>
  <c r="G23" i="14"/>
  <c r="D23" i="14"/>
  <c r="CY22" i="14"/>
  <c r="CS22" i="14"/>
  <c r="CP22" i="14"/>
  <c r="CM22" i="14"/>
  <c r="CJ22" i="14"/>
  <c r="CJ36" i="14" s="1"/>
  <c r="CG22" i="14"/>
  <c r="CA22" i="14"/>
  <c r="BX22" i="14"/>
  <c r="BU22" i="14"/>
  <c r="BO22" i="14"/>
  <c r="BL22" i="14"/>
  <c r="BI22" i="14"/>
  <c r="BF22" i="14"/>
  <c r="BC22" i="14"/>
  <c r="AZ22" i="14"/>
  <c r="AW22" i="14"/>
  <c r="AT22" i="14"/>
  <c r="AQ22" i="14"/>
  <c r="AN22" i="14"/>
  <c r="AK22" i="14"/>
  <c r="AH22" i="14"/>
  <c r="AE22" i="14"/>
  <c r="AB22" i="14"/>
  <c r="Y22" i="14"/>
  <c r="V22" i="14"/>
  <c r="S22" i="14"/>
  <c r="P22" i="14"/>
  <c r="M22" i="14"/>
  <c r="G22" i="14"/>
  <c r="D22" i="14"/>
  <c r="CX20" i="14"/>
  <c r="CW20" i="14"/>
  <c r="CW37" i="14" s="1"/>
  <c r="CV20" i="14"/>
  <c r="CV37" i="14" s="1"/>
  <c r="CU20" i="14"/>
  <c r="CT20" i="14"/>
  <c r="CR20" i="14"/>
  <c r="CR37" i="14" s="1"/>
  <c r="CQ20" i="14"/>
  <c r="CO20" i="14"/>
  <c r="CN20" i="14"/>
  <c r="CN37" i="14" s="1"/>
  <c r="CM20" i="14"/>
  <c r="CL20" i="14"/>
  <c r="CK20" i="14"/>
  <c r="CI20" i="14"/>
  <c r="CI37" i="14" s="1"/>
  <c r="CH20" i="14"/>
  <c r="CF37" i="14"/>
  <c r="CE20" i="14"/>
  <c r="CE37" i="14" s="1"/>
  <c r="CD20" i="14"/>
  <c r="CC20" i="14"/>
  <c r="CB20" i="14"/>
  <c r="CA20" i="14"/>
  <c r="BZ20" i="14"/>
  <c r="BY20" i="14"/>
  <c r="BX20" i="14"/>
  <c r="BW20" i="14"/>
  <c r="BV20" i="14"/>
  <c r="BT20" i="14"/>
  <c r="BT37" i="14" s="1"/>
  <c r="BS20" i="14"/>
  <c r="BR20" i="14"/>
  <c r="BR37" i="14" s="1"/>
  <c r="BQ20" i="14"/>
  <c r="BP20" i="14"/>
  <c r="BO20" i="14"/>
  <c r="BN20" i="14"/>
  <c r="BM20" i="14"/>
  <c r="BK20" i="14"/>
  <c r="BJ20" i="14"/>
  <c r="BI20" i="14"/>
  <c r="BH20" i="14"/>
  <c r="BG20" i="14"/>
  <c r="BF20" i="14"/>
  <c r="BE20" i="14"/>
  <c r="BD20" i="14"/>
  <c r="BC20" i="14"/>
  <c r="BB20" i="14"/>
  <c r="BA20" i="14"/>
  <c r="AZ20" i="14"/>
  <c r="AY20" i="14"/>
  <c r="AX20" i="14"/>
  <c r="AV20" i="14"/>
  <c r="AU20" i="14"/>
  <c r="AU37" i="14" s="1"/>
  <c r="AT20" i="14"/>
  <c r="AS20" i="14"/>
  <c r="AR20" i="14"/>
  <c r="AP20" i="14"/>
  <c r="AP37" i="14" s="1"/>
  <c r="AO20" i="14"/>
  <c r="AM20" i="14"/>
  <c r="AM37" i="14" s="1"/>
  <c r="AL20" i="14"/>
  <c r="AL37" i="14" s="1"/>
  <c r="AJ20" i="14"/>
  <c r="AJ37" i="14" s="1"/>
  <c r="AI20" i="14"/>
  <c r="AI37" i="14" s="1"/>
  <c r="AH20" i="14"/>
  <c r="AG20" i="14"/>
  <c r="AF20" i="14"/>
  <c r="AD20" i="14"/>
  <c r="AC20" i="14"/>
  <c r="AC37" i="14" s="1"/>
  <c r="AA20" i="14"/>
  <c r="Z20" i="14"/>
  <c r="Z37" i="14" s="1"/>
  <c r="X20" i="14"/>
  <c r="X37" i="14" s="1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CY19" i="14"/>
  <c r="CS19" i="14"/>
  <c r="CP19" i="14"/>
  <c r="CM19" i="14"/>
  <c r="CJ19" i="14"/>
  <c r="CG19" i="14"/>
  <c r="CA19" i="14"/>
  <c r="BX19" i="14"/>
  <c r="BU19" i="14"/>
  <c r="BR19" i="14"/>
  <c r="BO19" i="14"/>
  <c r="BL19" i="14"/>
  <c r="BI19" i="14"/>
  <c r="BF19" i="14"/>
  <c r="BE19" i="14"/>
  <c r="BC19" i="14"/>
  <c r="AZ19" i="14"/>
  <c r="AW19" i="14"/>
  <c r="AT19" i="14"/>
  <c r="AS19" i="14"/>
  <c r="AR19" i="14"/>
  <c r="AQ19" i="14"/>
  <c r="AN19" i="14"/>
  <c r="AK19" i="14"/>
  <c r="AH19" i="14"/>
  <c r="AG19" i="14"/>
  <c r="AF19" i="14"/>
  <c r="AE19" i="14"/>
  <c r="AB19" i="14"/>
  <c r="Y19" i="14"/>
  <c r="V19" i="14"/>
  <c r="U19" i="14"/>
  <c r="T19" i="14"/>
  <c r="S19" i="14"/>
  <c r="R19" i="14"/>
  <c r="Q19" i="14"/>
  <c r="P19" i="14"/>
  <c r="M19" i="14"/>
  <c r="J19" i="14"/>
  <c r="G19" i="14"/>
  <c r="D19" i="14"/>
  <c r="CY18" i="14"/>
  <c r="CS18" i="14"/>
  <c r="CP18" i="14"/>
  <c r="CM18" i="14"/>
  <c r="CJ18" i="14"/>
  <c r="CG18" i="14"/>
  <c r="CA18" i="14"/>
  <c r="BX18" i="14"/>
  <c r="BU18" i="14"/>
  <c r="BO18" i="14"/>
  <c r="BL18" i="14"/>
  <c r="BI18" i="14"/>
  <c r="BF18" i="14"/>
  <c r="BC18" i="14"/>
  <c r="AZ18" i="14"/>
  <c r="AW18" i="14"/>
  <c r="AT18" i="14"/>
  <c r="AQ18" i="14"/>
  <c r="AN18" i="14"/>
  <c r="AK18" i="14"/>
  <c r="AH18" i="14"/>
  <c r="AE18" i="14"/>
  <c r="AB18" i="14"/>
  <c r="Y18" i="14"/>
  <c r="V18" i="14"/>
  <c r="S18" i="14"/>
  <c r="P18" i="14"/>
  <c r="M18" i="14"/>
  <c r="G18" i="14"/>
  <c r="F18" i="14"/>
  <c r="E18" i="14"/>
  <c r="D18" i="14"/>
  <c r="CY17" i="14"/>
  <c r="CV17" i="14"/>
  <c r="CS17" i="14"/>
  <c r="CP17" i="14"/>
  <c r="CM17" i="14"/>
  <c r="CJ17" i="14"/>
  <c r="CG17" i="14"/>
  <c r="CD17" i="14"/>
  <c r="CA17" i="14"/>
  <c r="BX17" i="14"/>
  <c r="BU17" i="14"/>
  <c r="BO17" i="14"/>
  <c r="BL17" i="14"/>
  <c r="BI17" i="14"/>
  <c r="BF17" i="14"/>
  <c r="BC17" i="14"/>
  <c r="AZ17" i="14"/>
  <c r="AW17" i="14"/>
  <c r="AT17" i="14"/>
  <c r="AQ17" i="14"/>
  <c r="AN17" i="14"/>
  <c r="AK17" i="14"/>
  <c r="AH17" i="14"/>
  <c r="AE17" i="14"/>
  <c r="AB17" i="14"/>
  <c r="Y17" i="14"/>
  <c r="V17" i="14"/>
  <c r="S17" i="14"/>
  <c r="P17" i="14"/>
  <c r="M17" i="14"/>
  <c r="J17" i="14"/>
  <c r="G17" i="14"/>
  <c r="D17" i="14"/>
  <c r="CY16" i="14"/>
  <c r="CV16" i="14"/>
  <c r="CS16" i="14"/>
  <c r="CP16" i="14"/>
  <c r="CM16" i="14"/>
  <c r="CJ16" i="14"/>
  <c r="CG16" i="14"/>
  <c r="CD16" i="14"/>
  <c r="CA16" i="14"/>
  <c r="BX16" i="14"/>
  <c r="BU16" i="14"/>
  <c r="BO16" i="14"/>
  <c r="BL16" i="14"/>
  <c r="BI16" i="14"/>
  <c r="BF16" i="14"/>
  <c r="BC16" i="14"/>
  <c r="AZ16" i="14"/>
  <c r="AW16" i="14"/>
  <c r="AT16" i="14"/>
  <c r="AQ16" i="14"/>
  <c r="AN16" i="14"/>
  <c r="AK16" i="14"/>
  <c r="AH16" i="14"/>
  <c r="AE16" i="14"/>
  <c r="AB16" i="14"/>
  <c r="Y16" i="14"/>
  <c r="V16" i="14"/>
  <c r="S16" i="14"/>
  <c r="P16" i="14"/>
  <c r="M16" i="14"/>
  <c r="J16" i="14"/>
  <c r="G16" i="14"/>
  <c r="D16" i="14"/>
  <c r="CY15" i="14"/>
  <c r="CV15" i="14"/>
  <c r="CS15" i="14"/>
  <c r="CP15" i="14"/>
  <c r="CM15" i="14"/>
  <c r="CJ15" i="14"/>
  <c r="CG15" i="14"/>
  <c r="CD15" i="14"/>
  <c r="CA15" i="14"/>
  <c r="BX15" i="14"/>
  <c r="BU15" i="14"/>
  <c r="BR15" i="14"/>
  <c r="BO15" i="14"/>
  <c r="BL15" i="14"/>
  <c r="BI15" i="14"/>
  <c r="BF15" i="14"/>
  <c r="BC15" i="14"/>
  <c r="AZ15" i="14"/>
  <c r="AW15" i="14"/>
  <c r="AT15" i="14"/>
  <c r="AQ15" i="14"/>
  <c r="AN15" i="14"/>
  <c r="AK15" i="14"/>
  <c r="AH15" i="14"/>
  <c r="AE15" i="14"/>
  <c r="AB15" i="14"/>
  <c r="Y15" i="14"/>
  <c r="V15" i="14"/>
  <c r="S15" i="14"/>
  <c r="P15" i="14"/>
  <c r="M15" i="14"/>
  <c r="J15" i="14"/>
  <c r="G15" i="14"/>
  <c r="D15" i="14"/>
  <c r="CY14" i="14"/>
  <c r="CV14" i="14"/>
  <c r="CS14" i="14"/>
  <c r="CP14" i="14"/>
  <c r="CM14" i="14"/>
  <c r="CJ14" i="14"/>
  <c r="CG14" i="14"/>
  <c r="CD14" i="14"/>
  <c r="CA14" i="14"/>
  <c r="BX14" i="14"/>
  <c r="BU14" i="14"/>
  <c r="BO14" i="14"/>
  <c r="BL14" i="14"/>
  <c r="BI14" i="14"/>
  <c r="BF14" i="14"/>
  <c r="BC14" i="14"/>
  <c r="AZ14" i="14"/>
  <c r="AW14" i="14"/>
  <c r="AT14" i="14"/>
  <c r="AQ14" i="14"/>
  <c r="AN14" i="14"/>
  <c r="AK14" i="14"/>
  <c r="AH14" i="14"/>
  <c r="AE14" i="14"/>
  <c r="AB14" i="14"/>
  <c r="Y14" i="14"/>
  <c r="V14" i="14"/>
  <c r="S14" i="14"/>
  <c r="P14" i="14"/>
  <c r="M14" i="14"/>
  <c r="G14" i="14"/>
  <c r="D14" i="14"/>
  <c r="CY13" i="14"/>
  <c r="CS13" i="14"/>
  <c r="CP13" i="14"/>
  <c r="CM13" i="14"/>
  <c r="CJ13" i="14"/>
  <c r="CG13" i="14"/>
  <c r="CA13" i="14"/>
  <c r="BX13" i="14"/>
  <c r="BU13" i="14"/>
  <c r="BO13" i="14"/>
  <c r="BL13" i="14"/>
  <c r="BI13" i="14"/>
  <c r="BF13" i="14"/>
  <c r="BC13" i="14"/>
  <c r="AZ13" i="14"/>
  <c r="AW13" i="14"/>
  <c r="AT13" i="14"/>
  <c r="AQ13" i="14"/>
  <c r="AN13" i="14"/>
  <c r="AK13" i="14"/>
  <c r="AH13" i="14"/>
  <c r="AE13" i="14"/>
  <c r="AB13" i="14"/>
  <c r="Y13" i="14"/>
  <c r="V13" i="14"/>
  <c r="S13" i="14"/>
  <c r="P13" i="14"/>
  <c r="M13" i="14"/>
  <c r="G13" i="14"/>
  <c r="D13" i="14"/>
  <c r="CY12" i="14"/>
  <c r="CV12" i="14"/>
  <c r="CS12" i="14"/>
  <c r="CP12" i="14"/>
  <c r="CM12" i="14"/>
  <c r="CJ12" i="14"/>
  <c r="CG12" i="14"/>
  <c r="CD12" i="14"/>
  <c r="CA12" i="14"/>
  <c r="BX12" i="14"/>
  <c r="BU12" i="14"/>
  <c r="BO12" i="14"/>
  <c r="BL12" i="14"/>
  <c r="BI12" i="14"/>
  <c r="BF12" i="14"/>
  <c r="BC12" i="14"/>
  <c r="AZ12" i="14"/>
  <c r="AW12" i="14"/>
  <c r="AT12" i="14"/>
  <c r="AQ12" i="14"/>
  <c r="AN12" i="14"/>
  <c r="AK12" i="14"/>
  <c r="AH12" i="14"/>
  <c r="AE12" i="14"/>
  <c r="AB12" i="14"/>
  <c r="Y12" i="14"/>
  <c r="V12" i="14"/>
  <c r="S12" i="14"/>
  <c r="P12" i="14"/>
  <c r="M12" i="14"/>
  <c r="J12" i="14"/>
  <c r="G12" i="14"/>
  <c r="D12" i="14"/>
  <c r="CY11" i="14"/>
  <c r="CV11" i="14"/>
  <c r="CS11" i="14"/>
  <c r="CP11" i="14"/>
  <c r="CM11" i="14"/>
  <c r="CJ11" i="14"/>
  <c r="CG11" i="14"/>
  <c r="CD11" i="14"/>
  <c r="CA11" i="14"/>
  <c r="BX11" i="14"/>
  <c r="BU11" i="14"/>
  <c r="BO11" i="14"/>
  <c r="BL11" i="14"/>
  <c r="BI11" i="14"/>
  <c r="BF11" i="14"/>
  <c r="BC11" i="14"/>
  <c r="AZ11" i="14"/>
  <c r="AW11" i="14"/>
  <c r="AT11" i="14"/>
  <c r="AQ11" i="14"/>
  <c r="AN11" i="14"/>
  <c r="AK11" i="14"/>
  <c r="AH11" i="14"/>
  <c r="AE11" i="14"/>
  <c r="AB11" i="14"/>
  <c r="Y11" i="14"/>
  <c r="V11" i="14"/>
  <c r="S11" i="14"/>
  <c r="P11" i="14"/>
  <c r="M11" i="14"/>
  <c r="J11" i="14"/>
  <c r="G11" i="14"/>
  <c r="D11" i="14"/>
  <c r="CY10" i="14"/>
  <c r="CS10" i="14"/>
  <c r="CP10" i="14"/>
  <c r="CM10" i="14"/>
  <c r="CJ10" i="14"/>
  <c r="CG10" i="14"/>
  <c r="CA10" i="14"/>
  <c r="BX10" i="14"/>
  <c r="BU10" i="14"/>
  <c r="BO10" i="14"/>
  <c r="BL10" i="14"/>
  <c r="BI10" i="14"/>
  <c r="BF10" i="14"/>
  <c r="BC10" i="14"/>
  <c r="AZ10" i="14"/>
  <c r="AW10" i="14"/>
  <c r="AT10" i="14"/>
  <c r="AQ10" i="14"/>
  <c r="AN10" i="14"/>
  <c r="AK10" i="14"/>
  <c r="AH10" i="14"/>
  <c r="AE10" i="14"/>
  <c r="AB10" i="14"/>
  <c r="Y10" i="14"/>
  <c r="V10" i="14"/>
  <c r="S10" i="14"/>
  <c r="P10" i="14"/>
  <c r="M10" i="14"/>
  <c r="G10" i="14"/>
  <c r="D10" i="14"/>
  <c r="CY9" i="14"/>
  <c r="CV9" i="14"/>
  <c r="CS9" i="14"/>
  <c r="CP9" i="14"/>
  <c r="CM9" i="14"/>
  <c r="CJ9" i="14"/>
  <c r="CG9" i="14"/>
  <c r="CD9" i="14"/>
  <c r="CA9" i="14"/>
  <c r="BX9" i="14"/>
  <c r="BU9" i="14"/>
  <c r="BR9" i="14"/>
  <c r="BO9" i="14"/>
  <c r="BL9" i="14"/>
  <c r="BI9" i="14"/>
  <c r="BF9" i="14"/>
  <c r="BC9" i="14"/>
  <c r="AZ9" i="14"/>
  <c r="AW9" i="14"/>
  <c r="AT9" i="14"/>
  <c r="AQ9" i="14"/>
  <c r="AN9" i="14"/>
  <c r="AK9" i="14"/>
  <c r="AH9" i="14"/>
  <c r="AE9" i="14"/>
  <c r="AB9" i="14"/>
  <c r="Y9" i="14"/>
  <c r="V9" i="14"/>
  <c r="S9" i="14"/>
  <c r="P9" i="14"/>
  <c r="M9" i="14"/>
  <c r="J9" i="14"/>
  <c r="G9" i="14"/>
  <c r="D9" i="14"/>
  <c r="CY8" i="14"/>
  <c r="CV8" i="14"/>
  <c r="CS8" i="14"/>
  <c r="CP8" i="14"/>
  <c r="CM8" i="14"/>
  <c r="CJ8" i="14"/>
  <c r="CG8" i="14"/>
  <c r="CD8" i="14"/>
  <c r="CA8" i="14"/>
  <c r="BX8" i="14"/>
  <c r="BU8" i="14"/>
  <c r="BR8" i="14"/>
  <c r="BO8" i="14"/>
  <c r="BL8" i="14"/>
  <c r="BI8" i="14"/>
  <c r="BF8" i="14"/>
  <c r="BC8" i="14"/>
  <c r="AZ8" i="14"/>
  <c r="AW8" i="14"/>
  <c r="AT8" i="14"/>
  <c r="AQ8" i="14"/>
  <c r="AN8" i="14"/>
  <c r="AK8" i="14"/>
  <c r="AH8" i="14"/>
  <c r="AE8" i="14"/>
  <c r="AB8" i="14"/>
  <c r="Y8" i="14"/>
  <c r="V8" i="14"/>
  <c r="S8" i="14"/>
  <c r="P8" i="14"/>
  <c r="M8" i="14"/>
  <c r="J8" i="14"/>
  <c r="G8" i="14"/>
  <c r="D8" i="14"/>
  <c r="CY7" i="14"/>
  <c r="CV7" i="14"/>
  <c r="CS7" i="14"/>
  <c r="CP7" i="14"/>
  <c r="CM7" i="14"/>
  <c r="CJ7" i="14"/>
  <c r="CG7" i="14"/>
  <c r="CA7" i="14"/>
  <c r="BX7" i="14"/>
  <c r="BU7" i="14"/>
  <c r="BO7" i="14"/>
  <c r="BL7" i="14"/>
  <c r="BI7" i="14"/>
  <c r="BF7" i="14"/>
  <c r="BC7" i="14"/>
  <c r="AZ7" i="14"/>
  <c r="AW7" i="14"/>
  <c r="AT7" i="14"/>
  <c r="AQ7" i="14"/>
  <c r="AN7" i="14"/>
  <c r="AK7" i="14"/>
  <c r="AH7" i="14"/>
  <c r="AE7" i="14"/>
  <c r="AB7" i="14"/>
  <c r="Y7" i="14"/>
  <c r="V7" i="14"/>
  <c r="S7" i="14"/>
  <c r="P7" i="14"/>
  <c r="M7" i="14"/>
  <c r="G7" i="14"/>
  <c r="D7" i="14"/>
  <c r="CY6" i="14"/>
  <c r="CS6" i="14"/>
  <c r="CP6" i="14"/>
  <c r="CP20" i="14" s="1"/>
  <c r="CM6" i="14"/>
  <c r="CJ6" i="14"/>
  <c r="CG6" i="14"/>
  <c r="CA6" i="14"/>
  <c r="BX6" i="14"/>
  <c r="BU6" i="14"/>
  <c r="BO6" i="14"/>
  <c r="BL6" i="14"/>
  <c r="BI6" i="14"/>
  <c r="BF6" i="14"/>
  <c r="BC6" i="14"/>
  <c r="AZ6" i="14"/>
  <c r="AW6" i="14"/>
  <c r="AW20" i="14" s="1"/>
  <c r="AT6" i="14"/>
  <c r="AQ6" i="14"/>
  <c r="AN6" i="14"/>
  <c r="AK6" i="14"/>
  <c r="AH6" i="14"/>
  <c r="AE6" i="14"/>
  <c r="AB6" i="14"/>
  <c r="Y6" i="14"/>
  <c r="Y20" i="14" s="1"/>
  <c r="V6" i="14"/>
  <c r="S6" i="14"/>
  <c r="P6" i="14"/>
  <c r="M6" i="14"/>
  <c r="G6" i="14"/>
  <c r="D6" i="14"/>
  <c r="AJ11" i="13"/>
  <c r="AJ10" i="13"/>
  <c r="AI9" i="13"/>
  <c r="AH9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J8" i="13"/>
  <c r="AJ7" i="13"/>
  <c r="AJ6" i="13"/>
  <c r="E6" i="13"/>
  <c r="AJ5" i="13"/>
  <c r="AJ4" i="13"/>
  <c r="BS18" i="12"/>
  <c r="BR18" i="12"/>
  <c r="BS17" i="12"/>
  <c r="BR17" i="12"/>
  <c r="BS16" i="12"/>
  <c r="BR16" i="12"/>
  <c r="BQ15" i="12"/>
  <c r="BP15" i="12"/>
  <c r="BO15" i="12"/>
  <c r="BN15" i="12"/>
  <c r="BM15" i="12"/>
  <c r="BL15" i="12"/>
  <c r="BK15" i="12"/>
  <c r="BJ15" i="12"/>
  <c r="BI15" i="12"/>
  <c r="BH15" i="12"/>
  <c r="BG15" i="12"/>
  <c r="BF15" i="12"/>
  <c r="BE15" i="12"/>
  <c r="BD15" i="12"/>
  <c r="BC15" i="12"/>
  <c r="BB15" i="12"/>
  <c r="BA15" i="12"/>
  <c r="AZ15" i="12"/>
  <c r="AY15" i="12"/>
  <c r="AX15" i="12"/>
  <c r="AW15" i="12"/>
  <c r="AV15" i="12"/>
  <c r="AU15" i="12"/>
  <c r="AT15" i="12"/>
  <c r="AS15" i="12"/>
  <c r="AR15" i="12"/>
  <c r="AQ15" i="12"/>
  <c r="AP15" i="12"/>
  <c r="AO15" i="12"/>
  <c r="AN15" i="12"/>
  <c r="AM15" i="12"/>
  <c r="AL15" i="12"/>
  <c r="AK15" i="12"/>
  <c r="AJ15" i="12"/>
  <c r="AI15" i="12"/>
  <c r="AH15" i="12"/>
  <c r="AG15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BS14" i="12"/>
  <c r="BR14" i="12"/>
  <c r="BS13" i="12"/>
  <c r="BR13" i="12"/>
  <c r="BS12" i="12"/>
  <c r="BR12" i="12"/>
  <c r="BS11" i="12"/>
  <c r="BR11" i="12"/>
  <c r="BS10" i="12"/>
  <c r="BR10" i="12"/>
  <c r="BS9" i="12"/>
  <c r="BR9" i="12"/>
  <c r="BS8" i="12"/>
  <c r="BR8" i="12"/>
  <c r="BS7" i="12"/>
  <c r="BR7" i="12"/>
  <c r="BS6" i="12"/>
  <c r="BR6" i="12"/>
  <c r="BS5" i="12"/>
  <c r="BR5" i="12"/>
  <c r="BS89" i="11"/>
  <c r="BR89" i="11"/>
  <c r="BS88" i="11"/>
  <c r="BR88" i="11"/>
  <c r="BS87" i="11"/>
  <c r="BR87" i="11"/>
  <c r="BS86" i="11"/>
  <c r="BR86" i="11"/>
  <c r="BQ81" i="11"/>
  <c r="BP81" i="11"/>
  <c r="BO81" i="11"/>
  <c r="BN81" i="11"/>
  <c r="BM81" i="11"/>
  <c r="BL81" i="11"/>
  <c r="BK81" i="11"/>
  <c r="BJ81" i="11"/>
  <c r="BI81" i="11"/>
  <c r="BH81" i="11"/>
  <c r="BG81" i="11"/>
  <c r="BF81" i="11"/>
  <c r="BE81" i="11"/>
  <c r="BD81" i="11"/>
  <c r="BC81" i="11"/>
  <c r="BB81" i="11"/>
  <c r="BA81" i="11"/>
  <c r="AZ81" i="11"/>
  <c r="AY81" i="11"/>
  <c r="AX81" i="11"/>
  <c r="AW81" i="11"/>
  <c r="AV81" i="11"/>
  <c r="AU81" i="11"/>
  <c r="AT81" i="11"/>
  <c r="AS81" i="11"/>
  <c r="AR81" i="11"/>
  <c r="AQ81" i="11"/>
  <c r="AP81" i="11"/>
  <c r="AO81" i="11"/>
  <c r="AN81" i="11"/>
  <c r="AM81" i="11"/>
  <c r="AL81" i="11"/>
  <c r="AK81" i="11"/>
  <c r="AJ81" i="11"/>
  <c r="AI81" i="11"/>
  <c r="AH81" i="11"/>
  <c r="AG81" i="11"/>
  <c r="AF81" i="11"/>
  <c r="AE81" i="11"/>
  <c r="AD81" i="11"/>
  <c r="AC81" i="11"/>
  <c r="AB81" i="11"/>
  <c r="AA81" i="11"/>
  <c r="Z81" i="11"/>
  <c r="Y81" i="11"/>
  <c r="X81" i="11"/>
  <c r="W81" i="11"/>
  <c r="V81" i="11"/>
  <c r="U81" i="11"/>
  <c r="T81" i="11"/>
  <c r="S81" i="11"/>
  <c r="R81" i="11"/>
  <c r="Q81" i="11"/>
  <c r="P81" i="11"/>
  <c r="O81" i="11"/>
  <c r="N81" i="11"/>
  <c r="M81" i="11"/>
  <c r="L81" i="11"/>
  <c r="K81" i="11"/>
  <c r="J81" i="11"/>
  <c r="I81" i="11"/>
  <c r="H81" i="11"/>
  <c r="G81" i="11"/>
  <c r="F81" i="11"/>
  <c r="E81" i="11"/>
  <c r="D81" i="11"/>
  <c r="C81" i="11"/>
  <c r="B81" i="11"/>
  <c r="BQ80" i="11"/>
  <c r="BP80" i="11"/>
  <c r="BO80" i="11"/>
  <c r="BN80" i="11"/>
  <c r="BM80" i="11"/>
  <c r="BL80" i="11"/>
  <c r="BK80" i="11"/>
  <c r="BJ80" i="11"/>
  <c r="BI80" i="11"/>
  <c r="BH80" i="11"/>
  <c r="BG80" i="11"/>
  <c r="BF80" i="11"/>
  <c r="BE80" i="11"/>
  <c r="BD80" i="11"/>
  <c r="BC80" i="11"/>
  <c r="BB80" i="11"/>
  <c r="BA80" i="11"/>
  <c r="AZ80" i="11"/>
  <c r="AY80" i="11"/>
  <c r="AX80" i="11"/>
  <c r="AW80" i="11"/>
  <c r="AV80" i="11"/>
  <c r="AU80" i="11"/>
  <c r="AT80" i="11"/>
  <c r="AS80" i="11"/>
  <c r="AR80" i="11"/>
  <c r="AQ80" i="11"/>
  <c r="AP80" i="11"/>
  <c r="AO80" i="11"/>
  <c r="AN80" i="11"/>
  <c r="AM80" i="11"/>
  <c r="AL80" i="11"/>
  <c r="AK80" i="11"/>
  <c r="AJ80" i="11"/>
  <c r="AI80" i="11"/>
  <c r="AH80" i="11"/>
  <c r="AG80" i="11"/>
  <c r="AF80" i="11"/>
  <c r="AE80" i="11"/>
  <c r="AD80" i="11"/>
  <c r="AC80" i="11"/>
  <c r="AB80" i="11"/>
  <c r="AA80" i="11"/>
  <c r="Z80" i="11"/>
  <c r="Y80" i="11"/>
  <c r="X80" i="11"/>
  <c r="W80" i="11"/>
  <c r="V80" i="11"/>
  <c r="U80" i="11"/>
  <c r="T80" i="11"/>
  <c r="S80" i="11"/>
  <c r="R80" i="11"/>
  <c r="Q80" i="11"/>
  <c r="P80" i="11"/>
  <c r="O80" i="11"/>
  <c r="N80" i="11"/>
  <c r="M80" i="11"/>
  <c r="L80" i="11"/>
  <c r="K80" i="11"/>
  <c r="J80" i="11"/>
  <c r="I80" i="11"/>
  <c r="H80" i="11"/>
  <c r="G80" i="11"/>
  <c r="F80" i="11"/>
  <c r="E80" i="11"/>
  <c r="D80" i="11"/>
  <c r="C80" i="11"/>
  <c r="B80" i="11"/>
  <c r="BQ79" i="11"/>
  <c r="BP79" i="11"/>
  <c r="BO79" i="11"/>
  <c r="BN79" i="11"/>
  <c r="BM79" i="11"/>
  <c r="BL79" i="11"/>
  <c r="BK79" i="11"/>
  <c r="BJ79" i="11"/>
  <c r="BI79" i="11"/>
  <c r="BH79" i="11"/>
  <c r="BG79" i="11"/>
  <c r="BF79" i="11"/>
  <c r="BE79" i="11"/>
  <c r="BD79" i="11"/>
  <c r="BC79" i="11"/>
  <c r="BB79" i="11"/>
  <c r="BA79" i="11"/>
  <c r="AZ79" i="11"/>
  <c r="AY79" i="11"/>
  <c r="AX79" i="11"/>
  <c r="AW79" i="11"/>
  <c r="AV79" i="11"/>
  <c r="AU79" i="11"/>
  <c r="AT79" i="11"/>
  <c r="AS79" i="11"/>
  <c r="AR79" i="11"/>
  <c r="AQ79" i="11"/>
  <c r="AP79" i="11"/>
  <c r="AO79" i="11"/>
  <c r="AN79" i="11"/>
  <c r="AM79" i="11"/>
  <c r="AL79" i="11"/>
  <c r="AK79" i="11"/>
  <c r="AJ79" i="11"/>
  <c r="AI79" i="11"/>
  <c r="AH79" i="11"/>
  <c r="AG79" i="11"/>
  <c r="AF79" i="11"/>
  <c r="AE79" i="11"/>
  <c r="AD79" i="11"/>
  <c r="AC79" i="11"/>
  <c r="AB79" i="11"/>
  <c r="AA79" i="11"/>
  <c r="Z79" i="11"/>
  <c r="Y79" i="11"/>
  <c r="X79" i="11"/>
  <c r="W79" i="11"/>
  <c r="V79" i="11"/>
  <c r="U79" i="11"/>
  <c r="T79" i="11"/>
  <c r="S79" i="11"/>
  <c r="R79" i="11"/>
  <c r="Q79" i="11"/>
  <c r="P79" i="11"/>
  <c r="O79" i="11"/>
  <c r="N79" i="11"/>
  <c r="M79" i="11"/>
  <c r="L79" i="11"/>
  <c r="K79" i="11"/>
  <c r="J79" i="11"/>
  <c r="I79" i="11"/>
  <c r="H79" i="11"/>
  <c r="G79" i="11"/>
  <c r="F79" i="11"/>
  <c r="E79" i="11"/>
  <c r="D79" i="11"/>
  <c r="C79" i="11"/>
  <c r="B79" i="11"/>
  <c r="BQ78" i="11"/>
  <c r="BP78" i="11"/>
  <c r="BO78" i="11"/>
  <c r="BN78" i="11"/>
  <c r="BM78" i="11"/>
  <c r="BL78" i="11"/>
  <c r="BK78" i="11"/>
  <c r="BJ78" i="11"/>
  <c r="BI78" i="11"/>
  <c r="BH78" i="11"/>
  <c r="BG78" i="11"/>
  <c r="BF78" i="11"/>
  <c r="BE78" i="11"/>
  <c r="BD78" i="11"/>
  <c r="BC78" i="11"/>
  <c r="BB78" i="11"/>
  <c r="BA78" i="11"/>
  <c r="AZ78" i="11"/>
  <c r="AY78" i="11"/>
  <c r="AX78" i="11"/>
  <c r="AW78" i="11"/>
  <c r="AV78" i="11"/>
  <c r="AU78" i="11"/>
  <c r="AT78" i="11"/>
  <c r="AS78" i="11"/>
  <c r="AR78" i="11"/>
  <c r="AQ78" i="11"/>
  <c r="AP78" i="11"/>
  <c r="AO78" i="11"/>
  <c r="AN78" i="11"/>
  <c r="AM78" i="11"/>
  <c r="AL78" i="11"/>
  <c r="AK78" i="11"/>
  <c r="AJ78" i="11"/>
  <c r="AI78" i="11"/>
  <c r="AH78" i="11"/>
  <c r="AG78" i="11"/>
  <c r="AF78" i="11"/>
  <c r="AE78" i="11"/>
  <c r="AD78" i="11"/>
  <c r="AC78" i="11"/>
  <c r="AB78" i="11"/>
  <c r="AA78" i="11"/>
  <c r="Z78" i="11"/>
  <c r="Y78" i="11"/>
  <c r="X78" i="11"/>
  <c r="W78" i="11"/>
  <c r="V78" i="11"/>
  <c r="U78" i="11"/>
  <c r="T78" i="11"/>
  <c r="S78" i="11"/>
  <c r="R78" i="11"/>
  <c r="Q78" i="11"/>
  <c r="P78" i="11"/>
  <c r="O78" i="11"/>
  <c r="N78" i="11"/>
  <c r="M78" i="11"/>
  <c r="L78" i="11"/>
  <c r="K78" i="11"/>
  <c r="J78" i="11"/>
  <c r="I78" i="11"/>
  <c r="H78" i="11"/>
  <c r="G78" i="11"/>
  <c r="F78" i="11"/>
  <c r="E78" i="11"/>
  <c r="D78" i="11"/>
  <c r="C78" i="11"/>
  <c r="B78" i="11"/>
  <c r="BS73" i="11"/>
  <c r="BR73" i="11"/>
  <c r="BS72" i="11"/>
  <c r="BR72" i="11"/>
  <c r="BS71" i="11"/>
  <c r="BR71" i="11"/>
  <c r="BS70" i="11"/>
  <c r="BR70" i="11"/>
  <c r="BS65" i="11"/>
  <c r="BR65" i="11"/>
  <c r="BS64" i="11"/>
  <c r="BR64" i="11"/>
  <c r="BS63" i="11"/>
  <c r="BR63" i="11"/>
  <c r="BS62" i="11"/>
  <c r="BR62" i="11"/>
  <c r="BS57" i="11"/>
  <c r="BR57" i="11"/>
  <c r="BS56" i="11"/>
  <c r="BR56" i="11"/>
  <c r="BS55" i="11"/>
  <c r="BR55" i="11"/>
  <c r="BS54" i="11"/>
  <c r="BR54" i="11"/>
  <c r="BS49" i="11"/>
  <c r="BR49" i="11"/>
  <c r="BS48" i="11"/>
  <c r="BR48" i="11"/>
  <c r="BS47" i="11"/>
  <c r="BR47" i="11"/>
  <c r="BS46" i="11"/>
  <c r="BR46" i="11"/>
  <c r="BS41" i="11"/>
  <c r="BR41" i="11"/>
  <c r="BS40" i="11"/>
  <c r="BR40" i="11"/>
  <c r="BS39" i="11"/>
  <c r="BR39" i="11"/>
  <c r="BS38" i="11"/>
  <c r="BR38" i="11"/>
  <c r="BS33" i="11"/>
  <c r="BR33" i="11"/>
  <c r="BS32" i="11"/>
  <c r="BR32" i="11"/>
  <c r="BS31" i="11"/>
  <c r="BR31" i="11"/>
  <c r="BS30" i="11"/>
  <c r="BR30" i="11"/>
  <c r="BS25" i="11"/>
  <c r="BR25" i="11"/>
  <c r="BS24" i="11"/>
  <c r="BR24" i="11"/>
  <c r="BS23" i="11"/>
  <c r="BR23" i="11"/>
  <c r="BS22" i="11"/>
  <c r="BR22" i="11"/>
  <c r="BS17" i="11"/>
  <c r="BR17" i="11"/>
  <c r="AS17" i="11"/>
  <c r="AR17" i="11"/>
  <c r="BS16" i="11"/>
  <c r="BR16" i="11"/>
  <c r="AS16" i="11"/>
  <c r="AR16" i="11"/>
  <c r="BS15" i="11"/>
  <c r="BR15" i="11"/>
  <c r="AS15" i="11"/>
  <c r="AR15" i="11"/>
  <c r="BS14" i="11"/>
  <c r="BR14" i="11"/>
  <c r="AS14" i="11"/>
  <c r="AR14" i="11"/>
  <c r="BS9" i="11"/>
  <c r="BR9" i="11"/>
  <c r="BS8" i="11"/>
  <c r="BR8" i="11"/>
  <c r="BS7" i="11"/>
  <c r="BR7" i="11"/>
  <c r="BS6" i="11"/>
  <c r="BR6" i="11"/>
  <c r="BS122" i="10"/>
  <c r="BR122" i="10"/>
  <c r="BS121" i="10"/>
  <c r="BR121" i="10"/>
  <c r="BS120" i="10"/>
  <c r="BR120" i="10"/>
  <c r="BS119" i="10"/>
  <c r="BR119" i="10"/>
  <c r="BS118" i="10"/>
  <c r="BR118" i="10"/>
  <c r="BS117" i="10"/>
  <c r="BR117" i="10"/>
  <c r="BS116" i="10"/>
  <c r="BR116" i="10"/>
  <c r="BQ111" i="10"/>
  <c r="BP111" i="10"/>
  <c r="BO111" i="10"/>
  <c r="BN111" i="10"/>
  <c r="BM111" i="10"/>
  <c r="BL111" i="10"/>
  <c r="BK111" i="10"/>
  <c r="BJ111" i="10"/>
  <c r="BI111" i="10"/>
  <c r="BH111" i="10"/>
  <c r="BG111" i="10"/>
  <c r="BF111" i="10"/>
  <c r="BE111" i="10"/>
  <c r="BD111" i="10"/>
  <c r="BC111" i="10"/>
  <c r="BB111" i="10"/>
  <c r="BA111" i="10"/>
  <c r="AZ111" i="10"/>
  <c r="AY111" i="10"/>
  <c r="AX111" i="10"/>
  <c r="AW111" i="10"/>
  <c r="AV111" i="10"/>
  <c r="AU111" i="10"/>
  <c r="AT111" i="10"/>
  <c r="AS111" i="10"/>
  <c r="AR111" i="10"/>
  <c r="AQ111" i="10"/>
  <c r="AP111" i="10"/>
  <c r="AO111" i="10"/>
  <c r="AN111" i="10"/>
  <c r="AM111" i="10"/>
  <c r="AL111" i="10"/>
  <c r="AK111" i="10"/>
  <c r="AJ111" i="10"/>
  <c r="AI111" i="10"/>
  <c r="AH111" i="10"/>
  <c r="AG111" i="10"/>
  <c r="AF111" i="10"/>
  <c r="AE111" i="10"/>
  <c r="AD111" i="10"/>
  <c r="AC111" i="10"/>
  <c r="AB111" i="10"/>
  <c r="AA111" i="10"/>
  <c r="Z111" i="10"/>
  <c r="Y111" i="10"/>
  <c r="X111" i="10"/>
  <c r="W111" i="10"/>
  <c r="V111" i="10"/>
  <c r="U111" i="10"/>
  <c r="T111" i="10"/>
  <c r="S111" i="10"/>
  <c r="R111" i="10"/>
  <c r="Q111" i="10"/>
  <c r="P111" i="10"/>
  <c r="O111" i="10"/>
  <c r="N111" i="10"/>
  <c r="M111" i="10"/>
  <c r="L111" i="10"/>
  <c r="K111" i="10"/>
  <c r="J111" i="10"/>
  <c r="I111" i="10"/>
  <c r="H111" i="10"/>
  <c r="G111" i="10"/>
  <c r="F111" i="10"/>
  <c r="E111" i="10"/>
  <c r="D111" i="10"/>
  <c r="C111" i="10"/>
  <c r="B111" i="10"/>
  <c r="BQ110" i="10"/>
  <c r="BP110" i="10"/>
  <c r="BO110" i="10"/>
  <c r="BN110" i="10"/>
  <c r="BM110" i="10"/>
  <c r="BL110" i="10"/>
  <c r="BK110" i="10"/>
  <c r="BJ110" i="10"/>
  <c r="BI110" i="10"/>
  <c r="BH110" i="10"/>
  <c r="BG110" i="10"/>
  <c r="BF110" i="10"/>
  <c r="BE110" i="10"/>
  <c r="BD110" i="10"/>
  <c r="BC110" i="10"/>
  <c r="BB110" i="10"/>
  <c r="BA110" i="10"/>
  <c r="AZ110" i="10"/>
  <c r="AY110" i="10"/>
  <c r="AX110" i="10"/>
  <c r="AW110" i="10"/>
  <c r="AV110" i="10"/>
  <c r="AU110" i="10"/>
  <c r="AT110" i="10"/>
  <c r="AS110" i="10"/>
  <c r="AR110" i="10"/>
  <c r="AQ110" i="10"/>
  <c r="AP110" i="10"/>
  <c r="AO110" i="10"/>
  <c r="AN110" i="10"/>
  <c r="AM110" i="10"/>
  <c r="AL110" i="10"/>
  <c r="AK110" i="10"/>
  <c r="AJ110" i="10"/>
  <c r="AI110" i="10"/>
  <c r="AH110" i="10"/>
  <c r="AG110" i="10"/>
  <c r="AF110" i="10"/>
  <c r="AE110" i="10"/>
  <c r="AD110" i="10"/>
  <c r="AC110" i="10"/>
  <c r="AB110" i="10"/>
  <c r="AA110" i="10"/>
  <c r="Z110" i="10"/>
  <c r="Y110" i="10"/>
  <c r="X110" i="10"/>
  <c r="W110" i="10"/>
  <c r="V110" i="10"/>
  <c r="U110" i="10"/>
  <c r="T110" i="10"/>
  <c r="S110" i="10"/>
  <c r="R110" i="10"/>
  <c r="Q110" i="10"/>
  <c r="P110" i="10"/>
  <c r="O110" i="10"/>
  <c r="N110" i="10"/>
  <c r="M110" i="10"/>
  <c r="L110" i="10"/>
  <c r="K110" i="10"/>
  <c r="J110" i="10"/>
  <c r="I110" i="10"/>
  <c r="H110" i="10"/>
  <c r="G110" i="10"/>
  <c r="F110" i="10"/>
  <c r="E110" i="10"/>
  <c r="D110" i="10"/>
  <c r="C110" i="10"/>
  <c r="B110" i="10"/>
  <c r="BQ109" i="10"/>
  <c r="BP109" i="10"/>
  <c r="BO109" i="10"/>
  <c r="BN109" i="10"/>
  <c r="BM109" i="10"/>
  <c r="BL109" i="10"/>
  <c r="BK109" i="10"/>
  <c r="BJ109" i="10"/>
  <c r="BI109" i="10"/>
  <c r="BH109" i="10"/>
  <c r="BG109" i="10"/>
  <c r="BF109" i="10"/>
  <c r="BE109" i="10"/>
  <c r="BD109" i="10"/>
  <c r="BC109" i="10"/>
  <c r="BB109" i="10"/>
  <c r="BA109" i="10"/>
  <c r="AZ109" i="10"/>
  <c r="AY109" i="10"/>
  <c r="AX109" i="10"/>
  <c r="AW109" i="10"/>
  <c r="AV109" i="10"/>
  <c r="AU109" i="10"/>
  <c r="AT109" i="10"/>
  <c r="AS109" i="10"/>
  <c r="AR109" i="10"/>
  <c r="AQ109" i="10"/>
  <c r="AP109" i="10"/>
  <c r="AO109" i="10"/>
  <c r="AN109" i="10"/>
  <c r="AM109" i="10"/>
  <c r="AL109" i="10"/>
  <c r="AK109" i="10"/>
  <c r="AJ109" i="10"/>
  <c r="AI109" i="10"/>
  <c r="AH109" i="10"/>
  <c r="AG109" i="10"/>
  <c r="AF109" i="10"/>
  <c r="AE109" i="10"/>
  <c r="AD109" i="10"/>
  <c r="AC109" i="10"/>
  <c r="AB109" i="10"/>
  <c r="AA109" i="10"/>
  <c r="Z109" i="10"/>
  <c r="Y109" i="10"/>
  <c r="X109" i="10"/>
  <c r="W109" i="10"/>
  <c r="V109" i="10"/>
  <c r="U109" i="10"/>
  <c r="T109" i="10"/>
  <c r="S109" i="10"/>
  <c r="R109" i="10"/>
  <c r="Q109" i="10"/>
  <c r="P109" i="10"/>
  <c r="O109" i="10"/>
  <c r="N109" i="10"/>
  <c r="M109" i="10"/>
  <c r="L109" i="10"/>
  <c r="K109" i="10"/>
  <c r="J109" i="10"/>
  <c r="I109" i="10"/>
  <c r="H109" i="10"/>
  <c r="G109" i="10"/>
  <c r="F109" i="10"/>
  <c r="E109" i="10"/>
  <c r="D109" i="10"/>
  <c r="C109" i="10"/>
  <c r="B109" i="10"/>
  <c r="BQ108" i="10"/>
  <c r="BP108" i="10"/>
  <c r="BO108" i="10"/>
  <c r="BN108" i="10"/>
  <c r="BM108" i="10"/>
  <c r="BL108" i="10"/>
  <c r="BK108" i="10"/>
  <c r="BJ108" i="10"/>
  <c r="BI108" i="10"/>
  <c r="BH108" i="10"/>
  <c r="BG108" i="10"/>
  <c r="BF108" i="10"/>
  <c r="BE108" i="10"/>
  <c r="BD108" i="10"/>
  <c r="BC108" i="10"/>
  <c r="BB108" i="10"/>
  <c r="BA108" i="10"/>
  <c r="AZ108" i="10"/>
  <c r="AY108" i="10"/>
  <c r="AX108" i="10"/>
  <c r="AW108" i="10"/>
  <c r="AV108" i="10"/>
  <c r="AU108" i="10"/>
  <c r="AT108" i="10"/>
  <c r="AS108" i="10"/>
  <c r="AR108" i="10"/>
  <c r="AQ108" i="10"/>
  <c r="AP108" i="10"/>
  <c r="AO108" i="10"/>
  <c r="AN108" i="10"/>
  <c r="AM108" i="10"/>
  <c r="AL108" i="10"/>
  <c r="AK108" i="10"/>
  <c r="AJ108" i="10"/>
  <c r="AI108" i="10"/>
  <c r="AH108" i="10"/>
  <c r="AG108" i="10"/>
  <c r="AF108" i="10"/>
  <c r="AE108" i="10"/>
  <c r="AD108" i="10"/>
  <c r="AC108" i="10"/>
  <c r="AB108" i="10"/>
  <c r="AA108" i="10"/>
  <c r="Z108" i="10"/>
  <c r="Y108" i="10"/>
  <c r="X108" i="10"/>
  <c r="W108" i="10"/>
  <c r="V108" i="10"/>
  <c r="U108" i="10"/>
  <c r="T108" i="10"/>
  <c r="S108" i="10"/>
  <c r="R108" i="10"/>
  <c r="Q108" i="10"/>
  <c r="P108" i="10"/>
  <c r="O108" i="10"/>
  <c r="N108" i="10"/>
  <c r="M108" i="10"/>
  <c r="L108" i="10"/>
  <c r="K108" i="10"/>
  <c r="J108" i="10"/>
  <c r="I108" i="10"/>
  <c r="H108" i="10"/>
  <c r="G108" i="10"/>
  <c r="F108" i="10"/>
  <c r="E108" i="10"/>
  <c r="D108" i="10"/>
  <c r="C108" i="10"/>
  <c r="B108" i="10"/>
  <c r="BQ107" i="10"/>
  <c r="BP107" i="10"/>
  <c r="BO107" i="10"/>
  <c r="BN107" i="10"/>
  <c r="BM107" i="10"/>
  <c r="BL107" i="10"/>
  <c r="BK107" i="10"/>
  <c r="BJ107" i="10"/>
  <c r="BI107" i="10"/>
  <c r="BH107" i="10"/>
  <c r="BG107" i="10"/>
  <c r="BF107" i="10"/>
  <c r="BE107" i="10"/>
  <c r="BD107" i="10"/>
  <c r="BC107" i="10"/>
  <c r="BB107" i="10"/>
  <c r="BA107" i="10"/>
  <c r="AZ107" i="10"/>
  <c r="AY107" i="10"/>
  <c r="AX107" i="10"/>
  <c r="AW107" i="10"/>
  <c r="AV107" i="10"/>
  <c r="AU107" i="10"/>
  <c r="AT107" i="10"/>
  <c r="AS107" i="10"/>
  <c r="AR107" i="10"/>
  <c r="AQ107" i="10"/>
  <c r="AP107" i="10"/>
  <c r="AO107" i="10"/>
  <c r="AN107" i="10"/>
  <c r="AM107" i="10"/>
  <c r="AL107" i="10"/>
  <c r="AK107" i="10"/>
  <c r="AJ107" i="10"/>
  <c r="AI107" i="10"/>
  <c r="AH107" i="10"/>
  <c r="AG107" i="10"/>
  <c r="AF107" i="10"/>
  <c r="AE107" i="10"/>
  <c r="AD107" i="10"/>
  <c r="AC107" i="10"/>
  <c r="AB107" i="10"/>
  <c r="AA107" i="10"/>
  <c r="Z107" i="10"/>
  <c r="Y107" i="10"/>
  <c r="X107" i="10"/>
  <c r="W107" i="10"/>
  <c r="V107" i="10"/>
  <c r="U107" i="10"/>
  <c r="T107" i="10"/>
  <c r="S107" i="10"/>
  <c r="R107" i="10"/>
  <c r="Q107" i="10"/>
  <c r="P107" i="10"/>
  <c r="O107" i="10"/>
  <c r="N107" i="10"/>
  <c r="M107" i="10"/>
  <c r="L107" i="10"/>
  <c r="K107" i="10"/>
  <c r="J107" i="10"/>
  <c r="I107" i="10"/>
  <c r="H107" i="10"/>
  <c r="G107" i="10"/>
  <c r="F107" i="10"/>
  <c r="E107" i="10"/>
  <c r="D107" i="10"/>
  <c r="C107" i="10"/>
  <c r="B107" i="10"/>
  <c r="BQ106" i="10"/>
  <c r="BP106" i="10"/>
  <c r="BO106" i="10"/>
  <c r="BN106" i="10"/>
  <c r="BM106" i="10"/>
  <c r="BL106" i="10"/>
  <c r="BK106" i="10"/>
  <c r="BJ106" i="10"/>
  <c r="BI106" i="10"/>
  <c r="BH106" i="10"/>
  <c r="BG106" i="10"/>
  <c r="BF106" i="10"/>
  <c r="BE106" i="10"/>
  <c r="BD106" i="10"/>
  <c r="BC106" i="10"/>
  <c r="BB106" i="10"/>
  <c r="BA106" i="10"/>
  <c r="AZ106" i="10"/>
  <c r="AY106" i="10"/>
  <c r="AX106" i="10"/>
  <c r="AW106" i="10"/>
  <c r="AV106" i="10"/>
  <c r="AU106" i="10"/>
  <c r="AT106" i="10"/>
  <c r="AS106" i="10"/>
  <c r="AR106" i="10"/>
  <c r="AQ106" i="10"/>
  <c r="AP106" i="10"/>
  <c r="AO106" i="10"/>
  <c r="AN106" i="10"/>
  <c r="AM106" i="10"/>
  <c r="AL106" i="10"/>
  <c r="AK106" i="10"/>
  <c r="AJ106" i="10"/>
  <c r="AI106" i="10"/>
  <c r="AH106" i="10"/>
  <c r="AG106" i="10"/>
  <c r="AF106" i="10"/>
  <c r="AE106" i="10"/>
  <c r="AD106" i="10"/>
  <c r="AC106" i="10"/>
  <c r="AB106" i="10"/>
  <c r="AA106" i="10"/>
  <c r="Z106" i="10"/>
  <c r="Y106" i="10"/>
  <c r="X106" i="10"/>
  <c r="W106" i="10"/>
  <c r="V106" i="10"/>
  <c r="U106" i="10"/>
  <c r="T106" i="10"/>
  <c r="S106" i="10"/>
  <c r="R106" i="10"/>
  <c r="Q106" i="10"/>
  <c r="P106" i="10"/>
  <c r="O106" i="10"/>
  <c r="N106" i="10"/>
  <c r="M106" i="10"/>
  <c r="L106" i="10"/>
  <c r="K106" i="10"/>
  <c r="J106" i="10"/>
  <c r="I106" i="10"/>
  <c r="H106" i="10"/>
  <c r="G106" i="10"/>
  <c r="F106" i="10"/>
  <c r="E106" i="10"/>
  <c r="D106" i="10"/>
  <c r="C106" i="10"/>
  <c r="B106" i="10"/>
  <c r="BQ105" i="10"/>
  <c r="BP105" i="10"/>
  <c r="BO105" i="10"/>
  <c r="BN105" i="10"/>
  <c r="BM105" i="10"/>
  <c r="BL105" i="10"/>
  <c r="BK105" i="10"/>
  <c r="BJ105" i="10"/>
  <c r="BI105" i="10"/>
  <c r="BH105" i="10"/>
  <c r="BG105" i="10"/>
  <c r="BF105" i="10"/>
  <c r="BE105" i="10"/>
  <c r="BD105" i="10"/>
  <c r="BC105" i="10"/>
  <c r="BB105" i="10"/>
  <c r="BA105" i="10"/>
  <c r="AZ105" i="10"/>
  <c r="AY105" i="10"/>
  <c r="AX105" i="10"/>
  <c r="AW105" i="10"/>
  <c r="AV105" i="10"/>
  <c r="AU105" i="10"/>
  <c r="AT105" i="10"/>
  <c r="AS105" i="10"/>
  <c r="AR105" i="10"/>
  <c r="AQ105" i="10"/>
  <c r="AP105" i="10"/>
  <c r="AO105" i="10"/>
  <c r="AN105" i="10"/>
  <c r="AM105" i="10"/>
  <c r="AL105" i="10"/>
  <c r="AK105" i="10"/>
  <c r="AJ105" i="10"/>
  <c r="AI105" i="10"/>
  <c r="AH105" i="10"/>
  <c r="AG105" i="10"/>
  <c r="AF105" i="10"/>
  <c r="AE105" i="10"/>
  <c r="AD105" i="10"/>
  <c r="AC105" i="10"/>
  <c r="AB105" i="10"/>
  <c r="AA105" i="10"/>
  <c r="Z105" i="10"/>
  <c r="Y105" i="10"/>
  <c r="X105" i="10"/>
  <c r="W105" i="10"/>
  <c r="V105" i="10"/>
  <c r="U105" i="10"/>
  <c r="T105" i="10"/>
  <c r="S105" i="10"/>
  <c r="R105" i="10"/>
  <c r="Q105" i="10"/>
  <c r="P105" i="10"/>
  <c r="O105" i="10"/>
  <c r="N105" i="10"/>
  <c r="M105" i="10"/>
  <c r="L105" i="10"/>
  <c r="K105" i="10"/>
  <c r="J105" i="10"/>
  <c r="I105" i="10"/>
  <c r="H105" i="10"/>
  <c r="G105" i="10"/>
  <c r="F105" i="10"/>
  <c r="E105" i="10"/>
  <c r="D105" i="10"/>
  <c r="C105" i="10"/>
  <c r="B105" i="10"/>
  <c r="BS100" i="10"/>
  <c r="BR100" i="10"/>
  <c r="BS99" i="10"/>
  <c r="BR99" i="10"/>
  <c r="BS98" i="10"/>
  <c r="BR98" i="10"/>
  <c r="BS97" i="10"/>
  <c r="BR97" i="10"/>
  <c r="BS96" i="10"/>
  <c r="BR96" i="10"/>
  <c r="BS95" i="10"/>
  <c r="BR95" i="10"/>
  <c r="BS94" i="10"/>
  <c r="BR94" i="10"/>
  <c r="BS89" i="10"/>
  <c r="BR89" i="10"/>
  <c r="BS88" i="10"/>
  <c r="BR88" i="10"/>
  <c r="BS87" i="10"/>
  <c r="BR87" i="10"/>
  <c r="BS86" i="10"/>
  <c r="BR86" i="10"/>
  <c r="BS85" i="10"/>
  <c r="BR85" i="10"/>
  <c r="BS84" i="10"/>
  <c r="BR84" i="10"/>
  <c r="BS83" i="10"/>
  <c r="BR83" i="10"/>
  <c r="BS78" i="10"/>
  <c r="BR78" i="10"/>
  <c r="BS77" i="10"/>
  <c r="BR77" i="10"/>
  <c r="BS76" i="10"/>
  <c r="BR76" i="10"/>
  <c r="BS75" i="10"/>
  <c r="BR75" i="10"/>
  <c r="BS74" i="10"/>
  <c r="BR74" i="10"/>
  <c r="BS73" i="10"/>
  <c r="BR73" i="10"/>
  <c r="BS72" i="10"/>
  <c r="BR72" i="10"/>
  <c r="BS67" i="10"/>
  <c r="BR67" i="10"/>
  <c r="BS66" i="10"/>
  <c r="BR66" i="10"/>
  <c r="BS65" i="10"/>
  <c r="BR65" i="10"/>
  <c r="BS64" i="10"/>
  <c r="BR64" i="10"/>
  <c r="BS63" i="10"/>
  <c r="BR63" i="10"/>
  <c r="BS62" i="10"/>
  <c r="BR62" i="10"/>
  <c r="BS61" i="10"/>
  <c r="BR61" i="10"/>
  <c r="BS56" i="10"/>
  <c r="BR56" i="10"/>
  <c r="BS55" i="10"/>
  <c r="BR55" i="10"/>
  <c r="BS54" i="10"/>
  <c r="BR54" i="10"/>
  <c r="BS53" i="10"/>
  <c r="BR53" i="10"/>
  <c r="BS52" i="10"/>
  <c r="BR52" i="10"/>
  <c r="BS51" i="10"/>
  <c r="BR51" i="10"/>
  <c r="BS50" i="10"/>
  <c r="BR50" i="10"/>
  <c r="BS45" i="10"/>
  <c r="BR45" i="10"/>
  <c r="BS44" i="10"/>
  <c r="BR44" i="10"/>
  <c r="BS43" i="10"/>
  <c r="BR43" i="10"/>
  <c r="BS42" i="10"/>
  <c r="BR42" i="10"/>
  <c r="BS41" i="10"/>
  <c r="BR41" i="10"/>
  <c r="BS40" i="10"/>
  <c r="BR40" i="10"/>
  <c r="BS39" i="10"/>
  <c r="BR39" i="10"/>
  <c r="BS34" i="10"/>
  <c r="BR34" i="10"/>
  <c r="BS33" i="10"/>
  <c r="BR33" i="10"/>
  <c r="BS32" i="10"/>
  <c r="BR32" i="10"/>
  <c r="BS31" i="10"/>
  <c r="BR31" i="10"/>
  <c r="BS30" i="10"/>
  <c r="BR30" i="10"/>
  <c r="BS29" i="10"/>
  <c r="BR29" i="10"/>
  <c r="BS28" i="10"/>
  <c r="BR28" i="10"/>
  <c r="BS23" i="10"/>
  <c r="BR23" i="10"/>
  <c r="BS22" i="10"/>
  <c r="BR22" i="10"/>
  <c r="BS21" i="10"/>
  <c r="BR21" i="10"/>
  <c r="BS20" i="10"/>
  <c r="BR20" i="10"/>
  <c r="BS19" i="10"/>
  <c r="BR19" i="10"/>
  <c r="BS18" i="10"/>
  <c r="BR18" i="10"/>
  <c r="BS17" i="10"/>
  <c r="BR17" i="10"/>
  <c r="BS12" i="10"/>
  <c r="BR12" i="10"/>
  <c r="BS11" i="10"/>
  <c r="BR11" i="10"/>
  <c r="BS10" i="10"/>
  <c r="BR10" i="10"/>
  <c r="BS9" i="10"/>
  <c r="BR9" i="10"/>
  <c r="BS8" i="10"/>
  <c r="BR8" i="10"/>
  <c r="BS7" i="10"/>
  <c r="BR7" i="10"/>
  <c r="BS6" i="10"/>
  <c r="BR6" i="10"/>
  <c r="BS100" i="9"/>
  <c r="BR100" i="9"/>
  <c r="M100" i="9"/>
  <c r="BS99" i="9"/>
  <c r="BR99" i="9"/>
  <c r="M99" i="9"/>
  <c r="BS98" i="9"/>
  <c r="BR98" i="9"/>
  <c r="BS97" i="9"/>
  <c r="BR97" i="9"/>
  <c r="BS96" i="9"/>
  <c r="BR96" i="9"/>
  <c r="BQ91" i="9"/>
  <c r="BP91" i="9"/>
  <c r="BO91" i="9"/>
  <c r="BN91" i="9"/>
  <c r="BM91" i="9"/>
  <c r="BL91" i="9"/>
  <c r="BK91" i="9"/>
  <c r="BJ91" i="9"/>
  <c r="BI91" i="9"/>
  <c r="BH91" i="9"/>
  <c r="BG91" i="9"/>
  <c r="BF91" i="9"/>
  <c r="BE91" i="9"/>
  <c r="BD91" i="9"/>
  <c r="BC91" i="9"/>
  <c r="BB91" i="9"/>
  <c r="BA91" i="9"/>
  <c r="AZ91" i="9"/>
  <c r="AY91" i="9"/>
  <c r="AX91" i="9"/>
  <c r="AW91" i="9"/>
  <c r="AV91" i="9"/>
  <c r="AU91" i="9"/>
  <c r="AT91" i="9"/>
  <c r="AS91" i="9"/>
  <c r="AR91" i="9"/>
  <c r="AQ91" i="9"/>
  <c r="AP91" i="9"/>
  <c r="AO91" i="9"/>
  <c r="AN91" i="9"/>
  <c r="AM91" i="9"/>
  <c r="AL91" i="9"/>
  <c r="AK91" i="9"/>
  <c r="AJ91" i="9"/>
  <c r="AI91" i="9"/>
  <c r="AH91" i="9"/>
  <c r="AG91" i="9"/>
  <c r="AF91" i="9"/>
  <c r="AE91" i="9"/>
  <c r="AD91" i="9"/>
  <c r="AC91" i="9"/>
  <c r="AB91" i="9"/>
  <c r="AA91" i="9"/>
  <c r="Z91" i="9"/>
  <c r="Y91" i="9"/>
  <c r="X91" i="9"/>
  <c r="W91" i="9"/>
  <c r="V91" i="9"/>
  <c r="U91" i="9"/>
  <c r="T91" i="9"/>
  <c r="S91" i="9"/>
  <c r="R91" i="9"/>
  <c r="Q91" i="9"/>
  <c r="P91" i="9"/>
  <c r="O91" i="9"/>
  <c r="N91" i="9"/>
  <c r="M91" i="9"/>
  <c r="L91" i="9"/>
  <c r="K91" i="9"/>
  <c r="J91" i="9"/>
  <c r="I91" i="9"/>
  <c r="H91" i="9"/>
  <c r="G91" i="9"/>
  <c r="F91" i="9"/>
  <c r="E91" i="9"/>
  <c r="D91" i="9"/>
  <c r="C91" i="9"/>
  <c r="B91" i="9"/>
  <c r="BQ90" i="9"/>
  <c r="BP90" i="9"/>
  <c r="BO90" i="9"/>
  <c r="BN90" i="9"/>
  <c r="BM90" i="9"/>
  <c r="BL90" i="9"/>
  <c r="BK90" i="9"/>
  <c r="BJ90" i="9"/>
  <c r="BI90" i="9"/>
  <c r="BH90" i="9"/>
  <c r="BG90" i="9"/>
  <c r="BF90" i="9"/>
  <c r="BE90" i="9"/>
  <c r="BD90" i="9"/>
  <c r="BC90" i="9"/>
  <c r="BB90" i="9"/>
  <c r="BA90" i="9"/>
  <c r="AZ90" i="9"/>
  <c r="AY90" i="9"/>
  <c r="AX90" i="9"/>
  <c r="AW90" i="9"/>
  <c r="AV90" i="9"/>
  <c r="AU90" i="9"/>
  <c r="AT90" i="9"/>
  <c r="AS90" i="9"/>
  <c r="AR90" i="9"/>
  <c r="AQ90" i="9"/>
  <c r="AP90" i="9"/>
  <c r="AO90" i="9"/>
  <c r="AN90" i="9"/>
  <c r="AM90" i="9"/>
  <c r="AL90" i="9"/>
  <c r="AK90" i="9"/>
  <c r="AJ90" i="9"/>
  <c r="AI90" i="9"/>
  <c r="AH90" i="9"/>
  <c r="AG90" i="9"/>
  <c r="AF90" i="9"/>
  <c r="AE90" i="9"/>
  <c r="AD90" i="9"/>
  <c r="AC90" i="9"/>
  <c r="AB90" i="9"/>
  <c r="AA90" i="9"/>
  <c r="Z90" i="9"/>
  <c r="Y90" i="9"/>
  <c r="X90" i="9"/>
  <c r="W90" i="9"/>
  <c r="V90" i="9"/>
  <c r="U90" i="9"/>
  <c r="T90" i="9"/>
  <c r="S90" i="9"/>
  <c r="R90" i="9"/>
  <c r="Q90" i="9"/>
  <c r="P90" i="9"/>
  <c r="O90" i="9"/>
  <c r="N90" i="9"/>
  <c r="M90" i="9"/>
  <c r="L90" i="9"/>
  <c r="K90" i="9"/>
  <c r="J90" i="9"/>
  <c r="I90" i="9"/>
  <c r="H90" i="9"/>
  <c r="G90" i="9"/>
  <c r="F90" i="9"/>
  <c r="E90" i="9"/>
  <c r="D90" i="9"/>
  <c r="C90" i="9"/>
  <c r="B90" i="9"/>
  <c r="BQ89" i="9"/>
  <c r="BP89" i="9"/>
  <c r="BO89" i="9"/>
  <c r="BN89" i="9"/>
  <c r="BM89" i="9"/>
  <c r="BL89" i="9"/>
  <c r="BK89" i="9"/>
  <c r="BJ89" i="9"/>
  <c r="BI89" i="9"/>
  <c r="BH89" i="9"/>
  <c r="BG89" i="9"/>
  <c r="BF89" i="9"/>
  <c r="BE89" i="9"/>
  <c r="BD89" i="9"/>
  <c r="BC89" i="9"/>
  <c r="BB89" i="9"/>
  <c r="BA89" i="9"/>
  <c r="AZ89" i="9"/>
  <c r="AY89" i="9"/>
  <c r="AX89" i="9"/>
  <c r="AW89" i="9"/>
  <c r="AV89" i="9"/>
  <c r="AU89" i="9"/>
  <c r="AT89" i="9"/>
  <c r="AS89" i="9"/>
  <c r="AR89" i="9"/>
  <c r="AQ89" i="9"/>
  <c r="AP89" i="9"/>
  <c r="AO89" i="9"/>
  <c r="AN89" i="9"/>
  <c r="AM89" i="9"/>
  <c r="AL89" i="9"/>
  <c r="AK89" i="9"/>
  <c r="AJ89" i="9"/>
  <c r="AI89" i="9"/>
  <c r="AH89" i="9"/>
  <c r="AG89" i="9"/>
  <c r="AF89" i="9"/>
  <c r="AE89" i="9"/>
  <c r="AD89" i="9"/>
  <c r="AC89" i="9"/>
  <c r="AB89" i="9"/>
  <c r="AA89" i="9"/>
  <c r="Z89" i="9"/>
  <c r="Y89" i="9"/>
  <c r="X89" i="9"/>
  <c r="W89" i="9"/>
  <c r="V89" i="9"/>
  <c r="U89" i="9"/>
  <c r="T89" i="9"/>
  <c r="S89" i="9"/>
  <c r="R89" i="9"/>
  <c r="Q89" i="9"/>
  <c r="P89" i="9"/>
  <c r="O89" i="9"/>
  <c r="N89" i="9"/>
  <c r="M89" i="9"/>
  <c r="L89" i="9"/>
  <c r="K89" i="9"/>
  <c r="J89" i="9"/>
  <c r="I89" i="9"/>
  <c r="H89" i="9"/>
  <c r="G89" i="9"/>
  <c r="F89" i="9"/>
  <c r="E89" i="9"/>
  <c r="D89" i="9"/>
  <c r="C89" i="9"/>
  <c r="B89" i="9"/>
  <c r="BQ88" i="9"/>
  <c r="BP88" i="9"/>
  <c r="BO88" i="9"/>
  <c r="BN88" i="9"/>
  <c r="BM88" i="9"/>
  <c r="BL88" i="9"/>
  <c r="BK88" i="9"/>
  <c r="BJ88" i="9"/>
  <c r="BI88" i="9"/>
  <c r="BH88" i="9"/>
  <c r="BG88" i="9"/>
  <c r="BF88" i="9"/>
  <c r="BE88" i="9"/>
  <c r="BD88" i="9"/>
  <c r="BC88" i="9"/>
  <c r="BB88" i="9"/>
  <c r="BA88" i="9"/>
  <c r="AZ88" i="9"/>
  <c r="AY88" i="9"/>
  <c r="AX88" i="9"/>
  <c r="AW88" i="9"/>
  <c r="AV88" i="9"/>
  <c r="AU88" i="9"/>
  <c r="AT88" i="9"/>
  <c r="AS88" i="9"/>
  <c r="AR88" i="9"/>
  <c r="AQ88" i="9"/>
  <c r="AP88" i="9"/>
  <c r="AO88" i="9"/>
  <c r="AN88" i="9"/>
  <c r="AM88" i="9"/>
  <c r="AL88" i="9"/>
  <c r="AK88" i="9"/>
  <c r="AJ88" i="9"/>
  <c r="AI88" i="9"/>
  <c r="AH88" i="9"/>
  <c r="AG88" i="9"/>
  <c r="AF88" i="9"/>
  <c r="AE88" i="9"/>
  <c r="AD88" i="9"/>
  <c r="AC88" i="9"/>
  <c r="AB88" i="9"/>
  <c r="AA88" i="9"/>
  <c r="Z88" i="9"/>
  <c r="Y88" i="9"/>
  <c r="X88" i="9"/>
  <c r="W88" i="9"/>
  <c r="V88" i="9"/>
  <c r="U88" i="9"/>
  <c r="T88" i="9"/>
  <c r="S88" i="9"/>
  <c r="R88" i="9"/>
  <c r="Q88" i="9"/>
  <c r="P88" i="9"/>
  <c r="O88" i="9"/>
  <c r="N88" i="9"/>
  <c r="M88" i="9"/>
  <c r="L88" i="9"/>
  <c r="K88" i="9"/>
  <c r="J88" i="9"/>
  <c r="I88" i="9"/>
  <c r="H88" i="9"/>
  <c r="G88" i="9"/>
  <c r="F88" i="9"/>
  <c r="E88" i="9"/>
  <c r="D88" i="9"/>
  <c r="C88" i="9"/>
  <c r="B88" i="9"/>
  <c r="BQ87" i="9"/>
  <c r="BP87" i="9"/>
  <c r="BO87" i="9"/>
  <c r="BN87" i="9"/>
  <c r="BM87" i="9"/>
  <c r="BL87" i="9"/>
  <c r="BK87" i="9"/>
  <c r="BJ87" i="9"/>
  <c r="BI87" i="9"/>
  <c r="BH87" i="9"/>
  <c r="BG87" i="9"/>
  <c r="BF87" i="9"/>
  <c r="BE87" i="9"/>
  <c r="BD87" i="9"/>
  <c r="BC87" i="9"/>
  <c r="BB87" i="9"/>
  <c r="BA87" i="9"/>
  <c r="AZ87" i="9"/>
  <c r="AY87" i="9"/>
  <c r="AX87" i="9"/>
  <c r="AW87" i="9"/>
  <c r="AV87" i="9"/>
  <c r="AU87" i="9"/>
  <c r="AT87" i="9"/>
  <c r="AS87" i="9"/>
  <c r="AR87" i="9"/>
  <c r="AQ87" i="9"/>
  <c r="AP87" i="9"/>
  <c r="AO87" i="9"/>
  <c r="AN87" i="9"/>
  <c r="AM87" i="9"/>
  <c r="AL87" i="9"/>
  <c r="AK87" i="9"/>
  <c r="AJ87" i="9"/>
  <c r="AI87" i="9"/>
  <c r="AH87" i="9"/>
  <c r="AG87" i="9"/>
  <c r="AF87" i="9"/>
  <c r="AE87" i="9"/>
  <c r="AD87" i="9"/>
  <c r="AC87" i="9"/>
  <c r="AB87" i="9"/>
  <c r="AA87" i="9"/>
  <c r="Z87" i="9"/>
  <c r="Y87" i="9"/>
  <c r="X87" i="9"/>
  <c r="W87" i="9"/>
  <c r="V87" i="9"/>
  <c r="U87" i="9"/>
  <c r="T87" i="9"/>
  <c r="S87" i="9"/>
  <c r="R87" i="9"/>
  <c r="Q87" i="9"/>
  <c r="P87" i="9"/>
  <c r="O87" i="9"/>
  <c r="N87" i="9"/>
  <c r="M87" i="9"/>
  <c r="L87" i="9"/>
  <c r="K87" i="9"/>
  <c r="J87" i="9"/>
  <c r="I87" i="9"/>
  <c r="H87" i="9"/>
  <c r="G87" i="9"/>
  <c r="F87" i="9"/>
  <c r="E87" i="9"/>
  <c r="D87" i="9"/>
  <c r="C87" i="9"/>
  <c r="B87" i="9"/>
  <c r="BS82" i="9"/>
  <c r="BR82" i="9"/>
  <c r="M82" i="9"/>
  <c r="BS81" i="9"/>
  <c r="BR81" i="9"/>
  <c r="BS80" i="9"/>
  <c r="BR80" i="9"/>
  <c r="BS79" i="9"/>
  <c r="BR79" i="9"/>
  <c r="BS78" i="9"/>
  <c r="BR78" i="9"/>
  <c r="BS73" i="9"/>
  <c r="BR73" i="9"/>
  <c r="BS72" i="9"/>
  <c r="BR72" i="9"/>
  <c r="BS71" i="9"/>
  <c r="BR71" i="9"/>
  <c r="BS70" i="9"/>
  <c r="BR70" i="9"/>
  <c r="BS69" i="9"/>
  <c r="BR69" i="9"/>
  <c r="BS64" i="9"/>
  <c r="BR64" i="9"/>
  <c r="BS63" i="9"/>
  <c r="BR63" i="9"/>
  <c r="BS62" i="9"/>
  <c r="BR62" i="9"/>
  <c r="BS61" i="9"/>
  <c r="BR61" i="9"/>
  <c r="BS60" i="9"/>
  <c r="BR60" i="9"/>
  <c r="BS55" i="9"/>
  <c r="BR55" i="9"/>
  <c r="BS54" i="9"/>
  <c r="BR54" i="9"/>
  <c r="BS53" i="9"/>
  <c r="BR53" i="9"/>
  <c r="BS52" i="9"/>
  <c r="BR52" i="9"/>
  <c r="BS51" i="9"/>
  <c r="BR51" i="9"/>
  <c r="BS46" i="9"/>
  <c r="BR46" i="9"/>
  <c r="BS45" i="9"/>
  <c r="BR45" i="9"/>
  <c r="BS44" i="9"/>
  <c r="BR44" i="9"/>
  <c r="BS43" i="9"/>
  <c r="BR43" i="9"/>
  <c r="BS42" i="9"/>
  <c r="BR42" i="9"/>
  <c r="BS37" i="9"/>
  <c r="BR37" i="9"/>
  <c r="BS36" i="9"/>
  <c r="BR36" i="9"/>
  <c r="BS35" i="9"/>
  <c r="BR35" i="9"/>
  <c r="BS34" i="9"/>
  <c r="BR34" i="9"/>
  <c r="BS33" i="9"/>
  <c r="BR33" i="9"/>
  <c r="BS28" i="9"/>
  <c r="BR28" i="9"/>
  <c r="BS27" i="9"/>
  <c r="BR27" i="9"/>
  <c r="BS26" i="9"/>
  <c r="BR26" i="9"/>
  <c r="BS25" i="9"/>
  <c r="BR25" i="9"/>
  <c r="BS24" i="9"/>
  <c r="BR24" i="9"/>
  <c r="BS19" i="9"/>
  <c r="BR19" i="9"/>
  <c r="BS18" i="9"/>
  <c r="BR18" i="9"/>
  <c r="BS17" i="9"/>
  <c r="BR17" i="9"/>
  <c r="BS16" i="9"/>
  <c r="BR16" i="9"/>
  <c r="BS15" i="9"/>
  <c r="BR15" i="9"/>
  <c r="BS10" i="9"/>
  <c r="BR10" i="9"/>
  <c r="BS9" i="9"/>
  <c r="BR9" i="9"/>
  <c r="BS8" i="9"/>
  <c r="BR8" i="9"/>
  <c r="BS7" i="9"/>
  <c r="BR7" i="9"/>
  <c r="BS6" i="9"/>
  <c r="BR6" i="9"/>
  <c r="AJ28" i="8"/>
  <c r="AJ27" i="8"/>
  <c r="AJ26" i="8"/>
  <c r="AE25" i="8"/>
  <c r="AC25" i="8"/>
  <c r="W25" i="8"/>
  <c r="U25" i="8"/>
  <c r="T25" i="8"/>
  <c r="S25" i="8"/>
  <c r="R25" i="8"/>
  <c r="P25" i="8"/>
  <c r="L25" i="8"/>
  <c r="H25" i="8"/>
  <c r="G25" i="8"/>
  <c r="F25" i="8"/>
  <c r="E25" i="8"/>
  <c r="C25" i="8"/>
  <c r="B25" i="8"/>
  <c r="AI24" i="8"/>
  <c r="AH24" i="8"/>
  <c r="AG24" i="8"/>
  <c r="AF24" i="8"/>
  <c r="AF25" i="8" s="1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N25" i="8" s="1"/>
  <c r="M24" i="8"/>
  <c r="M25" i="8" s="1"/>
  <c r="L24" i="8"/>
  <c r="K24" i="8"/>
  <c r="J24" i="8"/>
  <c r="I24" i="8"/>
  <c r="H24" i="8"/>
  <c r="G24" i="8"/>
  <c r="F24" i="8"/>
  <c r="E24" i="8"/>
  <c r="D24" i="8"/>
  <c r="D25" i="8" s="1"/>
  <c r="C24" i="8"/>
  <c r="B24" i="8"/>
  <c r="AJ23" i="8"/>
  <c r="AJ22" i="8"/>
  <c r="AI21" i="8"/>
  <c r="AH21" i="8"/>
  <c r="AH25" i="8" s="1"/>
  <c r="AG21" i="8"/>
  <c r="AF21" i="8"/>
  <c r="AE21" i="8"/>
  <c r="AD21" i="8"/>
  <c r="AC21" i="8"/>
  <c r="AB21" i="8"/>
  <c r="AB25" i="8" s="1"/>
  <c r="AA21" i="8"/>
  <c r="AA25" i="8" s="1"/>
  <c r="Z21" i="8"/>
  <c r="Z25" i="8" s="1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J20" i="8"/>
  <c r="AJ19" i="8"/>
  <c r="AJ17" i="8"/>
  <c r="AJ16" i="8"/>
  <c r="AJ15" i="8"/>
  <c r="AI14" i="8"/>
  <c r="AG14" i="8"/>
  <c r="AD14" i="8"/>
  <c r="AC14" i="8"/>
  <c r="AA14" i="8"/>
  <c r="Z14" i="8"/>
  <c r="Y14" i="8"/>
  <c r="U14" i="8"/>
  <c r="T14" i="8"/>
  <c r="S14" i="8"/>
  <c r="R14" i="8"/>
  <c r="Q14" i="8"/>
  <c r="P14" i="8"/>
  <c r="N14" i="8"/>
  <c r="J14" i="8"/>
  <c r="I14" i="8"/>
  <c r="H14" i="8"/>
  <c r="G14" i="8"/>
  <c r="E14" i="8"/>
  <c r="C14" i="8"/>
  <c r="B14" i="8"/>
  <c r="AJ13" i="8"/>
  <c r="AJ12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J8" i="8"/>
  <c r="AJ7" i="8"/>
  <c r="U7" i="8"/>
  <c r="T7" i="8"/>
  <c r="S7" i="8"/>
  <c r="R7" i="8"/>
  <c r="P7" i="8"/>
  <c r="H7" i="8"/>
  <c r="G7" i="8"/>
  <c r="AJ6" i="8"/>
  <c r="AJ5" i="8"/>
  <c r="BQ25" i="7"/>
  <c r="BJ25" i="7"/>
  <c r="BI25" i="7"/>
  <c r="BH25" i="7"/>
  <c r="BG25" i="7"/>
  <c r="BE25" i="7"/>
  <c r="BD25" i="7"/>
  <c r="BC25" i="7"/>
  <c r="BB25" i="7"/>
  <c r="BA25" i="7"/>
  <c r="AZ25" i="7"/>
  <c r="AY25" i="7"/>
  <c r="AX25" i="7"/>
  <c r="AW25" i="7"/>
  <c r="AV25" i="7"/>
  <c r="AS25" i="7"/>
  <c r="AR25" i="7"/>
  <c r="AO25" i="7"/>
  <c r="AN25" i="7"/>
  <c r="AM25" i="7"/>
  <c r="AL25" i="7"/>
  <c r="AK25" i="7"/>
  <c r="AJ25" i="7"/>
  <c r="AI25" i="7"/>
  <c r="AH25" i="7"/>
  <c r="AG25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Q25" i="7"/>
  <c r="P25" i="7"/>
  <c r="O25" i="7"/>
  <c r="N25" i="7"/>
  <c r="M25" i="7"/>
  <c r="L25" i="7"/>
  <c r="K25" i="7"/>
  <c r="J25" i="7"/>
  <c r="I25" i="7"/>
  <c r="H25" i="7"/>
  <c r="E25" i="7"/>
  <c r="D25" i="7"/>
  <c r="C25" i="7"/>
  <c r="B25" i="7"/>
  <c r="AY24" i="7"/>
  <c r="AX24" i="7"/>
  <c r="AS24" i="7"/>
  <c r="AR24" i="7"/>
  <c r="AE24" i="7"/>
  <c r="AD24" i="7"/>
  <c r="AC24" i="7"/>
  <c r="AB24" i="7"/>
  <c r="AA24" i="7"/>
  <c r="Z24" i="7"/>
  <c r="W24" i="7"/>
  <c r="V24" i="7"/>
  <c r="U24" i="7"/>
  <c r="T24" i="7"/>
  <c r="BQ23" i="7"/>
  <c r="BP23" i="7"/>
  <c r="BP25" i="7" s="1"/>
  <c r="BO23" i="7"/>
  <c r="BO25" i="7" s="1"/>
  <c r="BN23" i="7"/>
  <c r="BN25" i="7" s="1"/>
  <c r="BM23" i="7"/>
  <c r="BM25" i="7" s="1"/>
  <c r="BL23" i="7"/>
  <c r="BL25" i="7" s="1"/>
  <c r="BK23" i="7"/>
  <c r="BJ23" i="7"/>
  <c r="BI23" i="7"/>
  <c r="BH23" i="7"/>
  <c r="BG23" i="7"/>
  <c r="BF23" i="7"/>
  <c r="BF25" i="7" s="1"/>
  <c r="BE23" i="7"/>
  <c r="BD23" i="7"/>
  <c r="BC23" i="7"/>
  <c r="BB23" i="7"/>
  <c r="BA23" i="7"/>
  <c r="AZ23" i="7"/>
  <c r="AY23" i="7"/>
  <c r="AX23" i="7"/>
  <c r="AW23" i="7"/>
  <c r="AV23" i="7"/>
  <c r="AU23" i="7"/>
  <c r="AU25" i="7" s="1"/>
  <c r="AT23" i="7"/>
  <c r="AT25" i="7" s="1"/>
  <c r="AS23" i="7"/>
  <c r="AR23" i="7"/>
  <c r="AQ23" i="7"/>
  <c r="AQ25" i="7" s="1"/>
  <c r="AP23" i="7"/>
  <c r="AP25" i="7" s="1"/>
  <c r="AO23" i="7"/>
  <c r="AN23" i="7"/>
  <c r="AM23" i="7"/>
  <c r="AL23" i="7"/>
  <c r="AK23" i="7"/>
  <c r="AJ23" i="7"/>
  <c r="AI23" i="7"/>
  <c r="AH23" i="7"/>
  <c r="AG23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S25" i="7" s="1"/>
  <c r="R23" i="7"/>
  <c r="R25" i="7" s="1"/>
  <c r="Q23" i="7"/>
  <c r="P23" i="7"/>
  <c r="O23" i="7"/>
  <c r="N23" i="7"/>
  <c r="M23" i="7"/>
  <c r="L23" i="7"/>
  <c r="K23" i="7"/>
  <c r="J23" i="7"/>
  <c r="I23" i="7"/>
  <c r="H23" i="7"/>
  <c r="G23" i="7"/>
  <c r="G25" i="7" s="1"/>
  <c r="F23" i="7"/>
  <c r="F25" i="7" s="1"/>
  <c r="E23" i="7"/>
  <c r="D23" i="7"/>
  <c r="C23" i="7"/>
  <c r="B23" i="7"/>
  <c r="BQ21" i="7"/>
  <c r="BP21" i="7"/>
  <c r="BO21" i="7"/>
  <c r="BN21" i="7"/>
  <c r="BM21" i="7"/>
  <c r="BL21" i="7"/>
  <c r="BK21" i="7"/>
  <c r="BJ21" i="7"/>
  <c r="BI21" i="7"/>
  <c r="BH21" i="7"/>
  <c r="BG21" i="7"/>
  <c r="BF21" i="7"/>
  <c r="BE21" i="7"/>
  <c r="BD21" i="7"/>
  <c r="BC21" i="7"/>
  <c r="BB21" i="7"/>
  <c r="BA21" i="7"/>
  <c r="AZ21" i="7"/>
  <c r="AY21" i="7"/>
  <c r="AX21" i="7"/>
  <c r="AW21" i="7"/>
  <c r="AV21" i="7"/>
  <c r="AU21" i="7"/>
  <c r="AT21" i="7"/>
  <c r="AS21" i="7"/>
  <c r="AR21" i="7"/>
  <c r="AQ21" i="7"/>
  <c r="AP21" i="7"/>
  <c r="AO21" i="7"/>
  <c r="AN21" i="7"/>
  <c r="AM21" i="7"/>
  <c r="AL21" i="7"/>
  <c r="AK21" i="7"/>
  <c r="AJ21" i="7"/>
  <c r="AI21" i="7"/>
  <c r="AH21" i="7"/>
  <c r="AG21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BQ15" i="7"/>
  <c r="BP15" i="7"/>
  <c r="BO15" i="7"/>
  <c r="BN15" i="7"/>
  <c r="BM15" i="7"/>
  <c r="BL15" i="7"/>
  <c r="BK15" i="7"/>
  <c r="BJ15" i="7"/>
  <c r="BI15" i="7"/>
  <c r="BH15" i="7"/>
  <c r="BG15" i="7"/>
  <c r="BF15" i="7"/>
  <c r="BE15" i="7"/>
  <c r="BD15" i="7"/>
  <c r="BC15" i="7"/>
  <c r="BB15" i="7"/>
  <c r="BA15" i="7"/>
  <c r="AZ15" i="7"/>
  <c r="AY15" i="7"/>
  <c r="AX15" i="7"/>
  <c r="AW15" i="7"/>
  <c r="AV15" i="7"/>
  <c r="AU15" i="7"/>
  <c r="AT15" i="7"/>
  <c r="AS15" i="7"/>
  <c r="AR15" i="7"/>
  <c r="AQ15" i="7"/>
  <c r="AP15" i="7"/>
  <c r="AO15" i="7"/>
  <c r="AN15" i="7"/>
  <c r="AM15" i="7"/>
  <c r="AL15" i="7"/>
  <c r="AK15" i="7"/>
  <c r="AJ15" i="7"/>
  <c r="AI15" i="7"/>
  <c r="AH15" i="7"/>
  <c r="AG15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BE14" i="1"/>
  <c r="BD14" i="1"/>
  <c r="AY14" i="1"/>
  <c r="AX14" i="1"/>
  <c r="AS14" i="1"/>
  <c r="AR14" i="1"/>
  <c r="AI14" i="1"/>
  <c r="AH14" i="1"/>
  <c r="AE14" i="1"/>
  <c r="AD14" i="1"/>
  <c r="O14" i="1"/>
  <c r="N14" i="1"/>
  <c r="BQ13" i="1"/>
  <c r="BP13" i="1"/>
  <c r="BO13" i="1"/>
  <c r="BN13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BS12" i="1"/>
  <c r="BR12" i="1"/>
  <c r="BE12" i="1"/>
  <c r="BD12" i="1"/>
  <c r="AY12" i="1"/>
  <c r="AX12" i="1"/>
  <c r="AS12" i="1"/>
  <c r="AR12" i="1"/>
  <c r="AI12" i="1"/>
  <c r="AH12" i="1"/>
  <c r="AE12" i="1"/>
  <c r="AD12" i="1"/>
  <c r="O12" i="1"/>
  <c r="N12" i="1"/>
  <c r="BS11" i="1"/>
  <c r="BR11" i="1"/>
  <c r="BE11" i="1"/>
  <c r="BD11" i="1"/>
  <c r="AY11" i="1"/>
  <c r="AX11" i="1"/>
  <c r="AS11" i="1"/>
  <c r="AR11" i="1"/>
  <c r="AI11" i="1"/>
  <c r="AH11" i="1"/>
  <c r="AE11" i="1"/>
  <c r="AD11" i="1"/>
  <c r="O11" i="1"/>
  <c r="N11" i="1"/>
  <c r="BS10" i="1"/>
  <c r="BR10" i="1"/>
  <c r="BE10" i="1"/>
  <c r="BD10" i="1"/>
  <c r="AY10" i="1"/>
  <c r="AX10" i="1"/>
  <c r="AS10" i="1"/>
  <c r="AR10" i="1"/>
  <c r="AI10" i="1"/>
  <c r="AH10" i="1"/>
  <c r="AE10" i="1"/>
  <c r="AD10" i="1"/>
  <c r="O10" i="1"/>
  <c r="N10" i="1"/>
  <c r="BE9" i="1"/>
  <c r="BD9" i="1"/>
  <c r="AY9" i="1"/>
  <c r="AX9" i="1"/>
  <c r="AS9" i="1"/>
  <c r="AR9" i="1"/>
  <c r="AI9" i="1"/>
  <c r="AH9" i="1"/>
  <c r="AE9" i="1"/>
  <c r="AD9" i="1"/>
  <c r="O9" i="1"/>
  <c r="N9" i="1"/>
  <c r="BS8" i="1"/>
  <c r="BR8" i="1"/>
  <c r="BE8" i="1"/>
  <c r="BD8" i="1"/>
  <c r="AY8" i="1"/>
  <c r="AX8" i="1"/>
  <c r="AS8" i="1"/>
  <c r="AR8" i="1"/>
  <c r="AI8" i="1"/>
  <c r="AH8" i="1"/>
  <c r="AE8" i="1"/>
  <c r="AD8" i="1"/>
  <c r="O8" i="1"/>
  <c r="N8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BS6" i="1"/>
  <c r="BR6" i="1"/>
  <c r="BE6" i="1"/>
  <c r="BD6" i="1"/>
  <c r="AY6" i="1"/>
  <c r="AX6" i="1"/>
  <c r="AS6" i="1"/>
  <c r="AR6" i="1"/>
  <c r="AI6" i="1"/>
  <c r="AH6" i="1"/>
  <c r="AE6" i="1"/>
  <c r="AD6" i="1"/>
  <c r="O6" i="1"/>
  <c r="N6" i="1"/>
  <c r="BS5" i="1"/>
  <c r="BR5" i="1"/>
  <c r="BE5" i="1"/>
  <c r="BD5" i="1"/>
  <c r="AY5" i="1"/>
  <c r="AX5" i="1"/>
  <c r="AS5" i="1"/>
  <c r="AR5" i="1"/>
  <c r="AI5" i="1"/>
  <c r="AH5" i="1"/>
  <c r="AE5" i="1"/>
  <c r="AD5" i="1"/>
  <c r="O5" i="1"/>
  <c r="N5" i="1"/>
  <c r="V25" i="8" l="1"/>
  <c r="BK37" i="14"/>
  <c r="BL36" i="14"/>
  <c r="BL20" i="14"/>
  <c r="AJ32" i="15"/>
  <c r="AJ28" i="15"/>
  <c r="AJ19" i="15"/>
  <c r="AJ12" i="15"/>
  <c r="J37" i="14"/>
  <c r="AG25" i="8"/>
  <c r="AI25" i="8"/>
  <c r="CS20" i="14"/>
  <c r="CS36" i="14"/>
  <c r="CQ37" i="14"/>
  <c r="CX37" i="14"/>
  <c r="CY36" i="14"/>
  <c r="CY20" i="14"/>
  <c r="X25" i="8"/>
  <c r="BS21" i="7"/>
  <c r="CH37" i="14"/>
  <c r="CJ20" i="14"/>
  <c r="CJ37" i="14" s="1"/>
  <c r="AD25" i="8"/>
  <c r="CO37" i="14"/>
  <c r="CP36" i="14"/>
  <c r="CP37" i="14" s="1"/>
  <c r="AA37" i="14"/>
  <c r="AB20" i="14"/>
  <c r="AB36" i="14"/>
  <c r="J25" i="8"/>
  <c r="BR21" i="7"/>
  <c r="BS23" i="7"/>
  <c r="BR25" i="7"/>
  <c r="BR23" i="7"/>
  <c r="BS15" i="7"/>
  <c r="BR15" i="7"/>
  <c r="BK25" i="7"/>
  <c r="BS25" i="7" s="1"/>
  <c r="BU36" i="14"/>
  <c r="BS37" i="14"/>
  <c r="BU20" i="14"/>
  <c r="CD37" i="14"/>
  <c r="CG20" i="14"/>
  <c r="CG36" i="14"/>
  <c r="AW37" i="14"/>
  <c r="AQ36" i="14"/>
  <c r="AO37" i="14"/>
  <c r="AQ20" i="14"/>
  <c r="AN36" i="14"/>
  <c r="AN20" i="14"/>
  <c r="AK36" i="14"/>
  <c r="AK20" i="14"/>
  <c r="AD37" i="14"/>
  <c r="AE36" i="14"/>
  <c r="AE20" i="14"/>
  <c r="BS15" i="12"/>
  <c r="BR15" i="12"/>
  <c r="Y36" i="14"/>
  <c r="Y37" i="14" s="1"/>
  <c r="W37" i="14"/>
  <c r="AJ9" i="13"/>
  <c r="AJ19" i="16"/>
  <c r="AJ15" i="16"/>
  <c r="Y25" i="8"/>
  <c r="AJ14" i="8"/>
  <c r="Q25" i="8"/>
  <c r="O25" i="8"/>
  <c r="K25" i="8"/>
  <c r="AJ24" i="8"/>
  <c r="AJ21" i="8"/>
  <c r="I25" i="8"/>
  <c r="BS78" i="11"/>
  <c r="BS80" i="11"/>
  <c r="BS81" i="11"/>
  <c r="BR79" i="11"/>
  <c r="BR81" i="11"/>
  <c r="BS108" i="10"/>
  <c r="BR107" i="10"/>
  <c r="BR111" i="10"/>
  <c r="BR108" i="10"/>
  <c r="BR110" i="10"/>
  <c r="BR109" i="10"/>
  <c r="BS88" i="9"/>
  <c r="BR89" i="9"/>
  <c r="BR91" i="9"/>
  <c r="BR88" i="9"/>
  <c r="BR87" i="9"/>
  <c r="BS79" i="11"/>
  <c r="BR78" i="11"/>
  <c r="BR80" i="11"/>
  <c r="BS106" i="10"/>
  <c r="BS110" i="10"/>
  <c r="BR105" i="10"/>
  <c r="BS107" i="10"/>
  <c r="BS105" i="10"/>
  <c r="BR106" i="10"/>
  <c r="BS109" i="10"/>
  <c r="BS111" i="10"/>
  <c r="BS91" i="9"/>
  <c r="BS89" i="9"/>
  <c r="BS87" i="9"/>
  <c r="BS90" i="9"/>
  <c r="BR90" i="9"/>
  <c r="BL37" i="14" l="1"/>
  <c r="CS37" i="14"/>
  <c r="CY37" i="14"/>
  <c r="AB37" i="14"/>
  <c r="BU37" i="14"/>
  <c r="CG37" i="14"/>
  <c r="AQ37" i="14"/>
  <c r="AN37" i="14"/>
  <c r="AK37" i="14"/>
  <c r="AE37" i="14"/>
  <c r="AJ25" i="8"/>
  <c r="BK14" i="3"/>
  <c r="BK12" i="3"/>
  <c r="BK13" i="3"/>
  <c r="V14" i="18"/>
  <c r="AJ9" i="8"/>
  <c r="V9" i="8"/>
  <c r="AJ10" i="8"/>
  <c r="BR9" i="1"/>
  <c r="AP7" i="1"/>
  <c r="BR7" i="1" s="1"/>
  <c r="AQ7" i="1"/>
  <c r="BS7" i="1" s="1"/>
  <c r="BS9" i="1"/>
  <c r="BS13" i="1"/>
  <c r="BR14" i="1"/>
  <c r="BS14" i="1"/>
  <c r="AP13" i="1"/>
  <c r="BR13" i="1" s="1"/>
  <c r="AP15" i="1"/>
  <c r="BR15" i="1"/>
  <c r="AQ13" i="1"/>
  <c r="AQ15" i="1"/>
  <c r="BS15" i="1"/>
</calcChain>
</file>

<file path=xl/sharedStrings.xml><?xml version="1.0" encoding="utf-8"?>
<sst xmlns="http://schemas.openxmlformats.org/spreadsheetml/2006/main" count="5411" uniqueCount="311">
  <si>
    <t>Particulars</t>
  </si>
  <si>
    <t>Acko</t>
  </si>
  <si>
    <t>Aditya Birla</t>
  </si>
  <si>
    <t>AICL</t>
  </si>
  <si>
    <t>Apollo Munich</t>
  </si>
  <si>
    <t>Bajaj Allianz</t>
  </si>
  <si>
    <t>Bharti Axa</t>
  </si>
  <si>
    <t>Cholamandalam</t>
  </si>
  <si>
    <t>DHFL</t>
  </si>
  <si>
    <t>Edelweiss</t>
  </si>
  <si>
    <t>ECGC</t>
  </si>
  <si>
    <t>Future Generali</t>
  </si>
  <si>
    <t>Go Digit</t>
  </si>
  <si>
    <t>HDFC Ergo</t>
  </si>
  <si>
    <t>ICICI Lombard</t>
  </si>
  <si>
    <t>Iffco Tokio</t>
  </si>
  <si>
    <t>Kotak</t>
  </si>
  <si>
    <t>Liberty</t>
  </si>
  <si>
    <t>Magma HDI</t>
  </si>
  <si>
    <t>Max Bupa</t>
  </si>
  <si>
    <t>National</t>
  </si>
  <si>
    <t>New India</t>
  </si>
  <si>
    <t>Oriental</t>
  </si>
  <si>
    <t>Raheja</t>
  </si>
  <si>
    <t>Reliance General</t>
  </si>
  <si>
    <t>Reliance Health</t>
  </si>
  <si>
    <t>Religare</t>
  </si>
  <si>
    <t>Royal Sundaram</t>
  </si>
  <si>
    <t>SBI</t>
  </si>
  <si>
    <t>Shriram</t>
  </si>
  <si>
    <t>Star Health</t>
  </si>
  <si>
    <t>Tata AIG</t>
  </si>
  <si>
    <t>United India</t>
  </si>
  <si>
    <t>Universal Sompo</t>
  </si>
  <si>
    <t>Industry Total</t>
  </si>
  <si>
    <t>Premiums earned (Net)</t>
  </si>
  <si>
    <t>Profit/ Loss on sale/redemption of Investments</t>
  </si>
  <si>
    <t>Other Income</t>
  </si>
  <si>
    <t>Interest, Dividend &amp; Rent – Gross</t>
  </si>
  <si>
    <t>TOTAL (A)</t>
  </si>
  <si>
    <t>Claims Incurred (Net)</t>
  </si>
  <si>
    <t>Commission</t>
  </si>
  <si>
    <t>Operating Expenses related to Insurance Business</t>
  </si>
  <si>
    <t>TOTAL (B)</t>
  </si>
  <si>
    <t>Operating profit / (loss) (A-B)</t>
  </si>
  <si>
    <t>Others</t>
  </si>
  <si>
    <t>NL-1 Revenue Account</t>
  </si>
  <si>
    <t>in Rs. '000</t>
  </si>
  <si>
    <t>Capital Reserve</t>
  </si>
  <si>
    <t>Capital Redemption Reserve</t>
  </si>
  <si>
    <t>Share/Security Premium</t>
  </si>
  <si>
    <t>General Reserves</t>
  </si>
  <si>
    <t>Catastrophe Reserve</t>
  </si>
  <si>
    <t>Other Reserves</t>
  </si>
  <si>
    <t>Balance of Profit in Profit &amp; Loss Account</t>
  </si>
  <si>
    <t>TOTAL</t>
  </si>
  <si>
    <t>SECURITY-WISE CLASSIFICATION</t>
  </si>
  <si>
    <t>Secured</t>
  </si>
  <si>
    <t>(a) On mortgage of property</t>
  </si>
  <si>
    <t>(aa)  In India</t>
  </si>
  <si>
    <t>(bb) Outside India</t>
  </si>
  <si>
    <t>(b) On Shares, Bonds, Govt. Securities</t>
  </si>
  <si>
    <t>(c) Others</t>
  </si>
  <si>
    <t>Unsecured</t>
  </si>
  <si>
    <t>BORROWER-WISE CLASSIFICATION</t>
  </si>
  <si>
    <t>(a) Central and State Governments</t>
  </si>
  <si>
    <t>(b) Banks and Financial Institutions</t>
  </si>
  <si>
    <t>(c) Subsidiaries</t>
  </si>
  <si>
    <t>(d) Industrial Undertakings</t>
  </si>
  <si>
    <t xml:space="preserve">(e)  Others </t>
  </si>
  <si>
    <t>PERFORMANCE-WISE CLASSIFICATION</t>
  </si>
  <si>
    <t>(a) Loans classified as standard</t>
  </si>
  <si>
    <t>(b) Non-performing loans less provisions</t>
  </si>
  <si>
    <t>Provisions</t>
  </si>
  <si>
    <t>MATURITY-WISE CLASSIFICATION</t>
  </si>
  <si>
    <t>(a) Short Term</t>
  </si>
  <si>
    <t>(b) Long Term</t>
  </si>
  <si>
    <t>Goodwill</t>
  </si>
  <si>
    <t>Intangibles (Software)</t>
  </si>
  <si>
    <t>Land-Freehold</t>
  </si>
  <si>
    <t>Land-Leasehold</t>
  </si>
  <si>
    <t>Leasehold</t>
  </si>
  <si>
    <t xml:space="preserve">Buildings </t>
  </si>
  <si>
    <t>Furniture &amp; Fittings</t>
  </si>
  <si>
    <t>IT Equipments</t>
  </si>
  <si>
    <t>Motor Cars/Vehicles</t>
  </si>
  <si>
    <t>Office Equipments</t>
  </si>
  <si>
    <t>Electrical Equipments</t>
  </si>
  <si>
    <t>Other Assets</t>
  </si>
  <si>
    <t>Capital Work in progress</t>
  </si>
  <si>
    <t>Instangible Assets under development</t>
  </si>
  <si>
    <t>Grand Total</t>
  </si>
  <si>
    <t>Cash (including cheques, drafts and stamps)</t>
  </si>
  <si>
    <t>Bank Balances</t>
  </si>
  <si>
    <t>(a) Deposit Accounts</t>
  </si>
  <si>
    <t>           (aa) Short-term (due within 12 months)</t>
  </si>
  <si>
    <t>           (bb) Others</t>
  </si>
  <si>
    <t>(b) Current Accounts</t>
  </si>
  <si>
    <t>(c) Cheque in Hand</t>
  </si>
  <si>
    <t>(d) Others</t>
  </si>
  <si>
    <t>Money at Call and Short Notice</t>
  </si>
  <si>
    <t>(a) With Banks</t>
  </si>
  <si>
    <t>(b) With other Institutions</t>
  </si>
  <si>
    <t>Agents’ Balances</t>
  </si>
  <si>
    <t>Balances due to other insurance companies</t>
  </si>
  <si>
    <t>Deposits held on re-insurance ceded</t>
  </si>
  <si>
    <t>Premiums received in advance</t>
  </si>
  <si>
    <t>Unallocated Premium</t>
  </si>
  <si>
    <t>Sundry creditors</t>
  </si>
  <si>
    <t>Due to subsidiaries/ holding company</t>
  </si>
  <si>
    <t xml:space="preserve">Claims Outstanding </t>
  </si>
  <si>
    <t>Due to Directors/Officers</t>
  </si>
  <si>
    <t>Unclaimed amount of Policyholders</t>
  </si>
  <si>
    <t>in Rs. Lakhs</t>
  </si>
  <si>
    <t>Available Assets in Policyholders’ Funds</t>
  </si>
  <si>
    <t>Liabilities (reserves as mentioned in Form HG)</t>
  </si>
  <si>
    <t>Other Liabilities (other liabilities in respect of  Policyholders’ Fund as mentioned in Balance Sheet)</t>
  </si>
  <si>
    <t>Current Liabilities as per Balance Sheet</t>
  </si>
  <si>
    <t>Provisions as per Balance Sheet</t>
  </si>
  <si>
    <t xml:space="preserve">Excess in Policyholders’ Funds </t>
  </si>
  <si>
    <t>Available Assets in Shareholders’ Funds</t>
  </si>
  <si>
    <t>Other Liabilities (other liabilities in respect of Shareholders’ Fund as mentioned in Balance Sheet)</t>
  </si>
  <si>
    <t>Excess in Shareholders’ Funds</t>
  </si>
  <si>
    <t>Total Available Solvency Margin [ASM]</t>
  </si>
  <si>
    <t>Total Required Solvency Margin  [RSM]</t>
  </si>
  <si>
    <t>Solvency Ratio (Total ASM/Total RSM)</t>
  </si>
  <si>
    <t xml:space="preserve">NL-40 Business Acquisition Through Different Channels </t>
  </si>
  <si>
    <t>No. of Policies- in number only, Premium- in Rs. Lakhs</t>
  </si>
  <si>
    <t>Individual Agents</t>
  </si>
  <si>
    <t>Corporate Agents-Banks</t>
  </si>
  <si>
    <t>Corporate Agents -Others</t>
  </si>
  <si>
    <t>Brokers</t>
  </si>
  <si>
    <t>Micro Agents</t>
  </si>
  <si>
    <t>Direct Business</t>
  </si>
  <si>
    <t>Total (A)</t>
  </si>
  <si>
    <t>Referral (B)</t>
  </si>
  <si>
    <t>Grand Total (A+B)</t>
  </si>
  <si>
    <t>No.of Policies</t>
  </si>
  <si>
    <t>Premium</t>
  </si>
  <si>
    <t>NL-30 Analytical Ratios</t>
  </si>
  <si>
    <t>Gross Premium Growth Rate</t>
  </si>
  <si>
    <t>Gross Premium to shareholders' fund ratio</t>
  </si>
  <si>
    <t>Gross Direct Premium to Net Worth Ratio</t>
  </si>
  <si>
    <t>Growth Rate of Net Worth</t>
  </si>
  <si>
    <t>Growth rate of shareholders' fund</t>
  </si>
  <si>
    <t>Net Retention Ratio</t>
  </si>
  <si>
    <t>Net Commission Ratio</t>
  </si>
  <si>
    <t>Expense of Management to Gross Direct Premium Ratio</t>
  </si>
  <si>
    <t>Expense of Management to Net Written Premium Ratio</t>
  </si>
  <si>
    <t>Net Incurred claims to Net Earned Premium</t>
  </si>
  <si>
    <t>Combined Ratio</t>
  </si>
  <si>
    <t>Technical Reserves to net premium ratio</t>
  </si>
  <si>
    <t>Underwriting balance ratio</t>
  </si>
  <si>
    <t>Operating Profit Ratio</t>
  </si>
  <si>
    <t>Liquid Assets to Liabilities ratio</t>
  </si>
  <si>
    <t>Net earning ratio</t>
  </si>
  <si>
    <t>Return on net worth ratio</t>
  </si>
  <si>
    <t>Available Solvency Margin Ratio to Required Solvency Margin Ratio</t>
  </si>
  <si>
    <t>NPA Ratio</t>
  </si>
  <si>
    <t>Gross NPA Ratio</t>
  </si>
  <si>
    <t>Net NPA Ratio</t>
  </si>
  <si>
    <t>Motor TP</t>
  </si>
  <si>
    <t>Non TP</t>
  </si>
  <si>
    <t>Total</t>
  </si>
  <si>
    <t>Claims o/s at the beginning of the period</t>
  </si>
  <si>
    <t>Claims reported during the period</t>
  </si>
  <si>
    <t>Claims settled during the period</t>
  </si>
  <si>
    <t>Claims repudiated during the period</t>
  </si>
  <si>
    <t>Claims closed during the period</t>
  </si>
  <si>
    <t>Claims o/s at end of the period</t>
  </si>
  <si>
    <t>Less than 3 months</t>
  </si>
  <si>
    <t>3 months to 6 months</t>
  </si>
  <si>
    <t>6 months to 1 year</t>
  </si>
  <si>
    <t>1 year and above</t>
  </si>
  <si>
    <t>No. of Claims only</t>
  </si>
  <si>
    <t>No. of Reinsurers</t>
  </si>
  <si>
    <t>Premium ceded to reinsurers</t>
  </si>
  <si>
    <t>Premium ceded to reinsurers/ Total reinsurance premium ceded (%)</t>
  </si>
  <si>
    <t>Proportional</t>
  </si>
  <si>
    <t>Non-Proportional</t>
  </si>
  <si>
    <t>Facultative</t>
  </si>
  <si>
    <t>Reinsurance Placement</t>
  </si>
  <si>
    <t>No. of Reinsurers with rating of AAA and above</t>
  </si>
  <si>
    <t>No. of Reinsurers with rating AA but less than AAA</t>
  </si>
  <si>
    <t>No. of Reinsurers with rating A but less than AA</t>
  </si>
  <si>
    <t xml:space="preserve">No. of Reinsurers with rating BBB but less than A </t>
  </si>
  <si>
    <t>No. of Reinsurers with rating less than BBB</t>
  </si>
  <si>
    <t>No. of Domestic Reinsurance Placed with Indian Insurance Companies</t>
  </si>
  <si>
    <t>Domestic Capacity</t>
  </si>
  <si>
    <t>No. of Indian reinsurer other than GIC</t>
  </si>
  <si>
    <t>Government</t>
  </si>
  <si>
    <t>Shareholders</t>
  </si>
  <si>
    <t>Policyholders</t>
  </si>
  <si>
    <t>LONG TERM INVESTMENTS</t>
  </si>
  <si>
    <t>Government securities and Government guaranteed bonds including Treasury Bills</t>
  </si>
  <si>
    <t>Other Approved Securities</t>
  </si>
  <si>
    <t>Other Investments</t>
  </si>
  <si>
    <t>(a) Shares</t>
  </si>
  <si>
    <t xml:space="preserve">      (aa)  Equity</t>
  </si>
  <si>
    <t xml:space="preserve">      (bb) Preference</t>
  </si>
  <si>
    <t>(b) Mutual Funds</t>
  </si>
  <si>
    <t>(c) Debentures/ Bonds</t>
  </si>
  <si>
    <t>(d) Other securities</t>
  </si>
  <si>
    <t>(e) Non convertible debenture/bonds</t>
  </si>
  <si>
    <t>(f) Subsidiaries</t>
  </si>
  <si>
    <t>(g) Investment properties - Real Estate</t>
  </si>
  <si>
    <t>Investments in Infrastructure and Social Sector</t>
  </si>
  <si>
    <t>Other than Approved Investments</t>
  </si>
  <si>
    <t>TOTAL LONG TERM INVESTMENTS</t>
  </si>
  <si>
    <t>SHORT TERM INVESTMENTS</t>
  </si>
  <si>
    <t>TOTAL SHORT TERM INVESTMENTS</t>
  </si>
  <si>
    <t>(d) Non convertible debenture/bonds</t>
  </si>
  <si>
    <t>(e) Other securities</t>
  </si>
  <si>
    <t>(f) Fixed Deposit with Bank</t>
  </si>
  <si>
    <t>(g) Subsidiaries</t>
  </si>
  <si>
    <t>NL-7 Operating Expenses</t>
  </si>
  <si>
    <t>Employees remuneration and welfare benefits</t>
  </si>
  <si>
    <t>Travel conveyance and vehicle running expenses</t>
  </si>
  <si>
    <t>Training expenses</t>
  </si>
  <si>
    <t>Rent, rates and taxes</t>
  </si>
  <si>
    <t>Repairs and maintenance</t>
  </si>
  <si>
    <t>Printing and stationery</t>
  </si>
  <si>
    <t>Communication</t>
  </si>
  <si>
    <t>Legal and Professional Charges</t>
  </si>
  <si>
    <t>Advertisement and publicity</t>
  </si>
  <si>
    <t>Interest and bank charges</t>
  </si>
  <si>
    <t>Depreciation</t>
  </si>
  <si>
    <t>Service Tax Expenses / GST Expenses</t>
  </si>
  <si>
    <t>NL-6 Commission</t>
  </si>
  <si>
    <t>FIRE</t>
  </si>
  <si>
    <t>MARINE</t>
  </si>
  <si>
    <t>MOTOR</t>
  </si>
  <si>
    <t>ENGINEERING</t>
  </si>
  <si>
    <t>HEALTH</t>
  </si>
  <si>
    <t>PERSONAL ACCIDENT</t>
  </si>
  <si>
    <t>LIABILITY</t>
  </si>
  <si>
    <t>AVIATION</t>
  </si>
  <si>
    <t>OTHER MISCELLANEOUS</t>
  </si>
  <si>
    <t>Direct</t>
  </si>
  <si>
    <t>Net Commission</t>
  </si>
  <si>
    <t xml:space="preserve">NL-5 Claims </t>
  </si>
  <si>
    <t>Direct claims</t>
  </si>
  <si>
    <t>Net Premium</t>
  </si>
  <si>
    <t>Net Earned Premium</t>
  </si>
  <si>
    <t xml:space="preserve">NL-4 Premium </t>
  </si>
  <si>
    <t>SOURCES OF FUNDS</t>
  </si>
  <si>
    <t>Share Capital</t>
  </si>
  <si>
    <t>Reserves and Surplus</t>
  </si>
  <si>
    <t>Fair Value Change Account</t>
  </si>
  <si>
    <t>Borrowings</t>
  </si>
  <si>
    <t>APPLICATION OF FUNDS</t>
  </si>
  <si>
    <t>Investments- Shareholders Funds</t>
  </si>
  <si>
    <t>Investments- Policyholders Funds</t>
  </si>
  <si>
    <t>Total Investments</t>
  </si>
  <si>
    <t>Loans</t>
  </si>
  <si>
    <t>Fixed Assets</t>
  </si>
  <si>
    <t>Deferred Tax Assets</t>
  </si>
  <si>
    <t>Current Assets</t>
  </si>
  <si>
    <t>Cash and Bank Balances</t>
  </si>
  <si>
    <t>Advances and Other Assets</t>
  </si>
  <si>
    <t>Sub-Total (A)</t>
  </si>
  <si>
    <t>Current Liabilities</t>
  </si>
  <si>
    <t>Sub-Total (B)</t>
  </si>
  <si>
    <t>NET CURRENT ASSETS (C) = (A - B)</t>
  </si>
  <si>
    <t>Miscellaneous Expenditure (to the extent not written off or adjusted)</t>
  </si>
  <si>
    <t>Debit Balance in Profit and Loss Account</t>
  </si>
  <si>
    <t>OPERATING PROFIT/(LOSS)</t>
  </si>
  <si>
    <t>(a) Fire Insurance</t>
  </si>
  <si>
    <t>(b) Marine Insurance</t>
  </si>
  <si>
    <t>(c) Miscellaneous Insurance</t>
  </si>
  <si>
    <t>INCOME FROM INVESTMENTS</t>
  </si>
  <si>
    <t>(a) Interest, Dividend &amp; Rent – Gross</t>
  </si>
  <si>
    <t>(b) Profit on sale of investments</t>
  </si>
  <si>
    <t>Less: Loss on sale of investments</t>
  </si>
  <si>
    <t>(c) Accretion/(Amortisation) of Debt Securities</t>
  </si>
  <si>
    <t>(d) Amortization of Discount / (Premium)</t>
  </si>
  <si>
    <t>OTHER INCOME</t>
  </si>
  <si>
    <t>PROVISIONS (Other than taxation)</t>
  </si>
  <si>
    <t>(a) For diminution in the value of investments</t>
  </si>
  <si>
    <t>(b) For doubtful debts</t>
  </si>
  <si>
    <t xml:space="preserve">OTHER EXPENSES </t>
  </si>
  <si>
    <t>PROFIT / (LOSS) BEFORE TAX (A-B)</t>
  </si>
  <si>
    <t>PROFIT / (LOSS) AFTER TAX</t>
  </si>
  <si>
    <t>Provision for Taxation</t>
  </si>
  <si>
    <t>Premium from direct business written</t>
  </si>
  <si>
    <r>
      <t xml:space="preserve">NL-23 Reinsurance Risk Concentration
</t>
    </r>
    <r>
      <rPr>
        <b/>
        <sz val="12"/>
        <color theme="4" tint="-0.499984740745262"/>
        <rFont val="Calibri"/>
        <family val="2"/>
        <scheme val="minor"/>
      </rPr>
      <t xml:space="preserve">Rs. In Lakhs </t>
    </r>
  </si>
  <si>
    <t>Total Claims Incurred</t>
  </si>
  <si>
    <t>Premium on reinsurance accepted</t>
  </si>
  <si>
    <t>Premium on reinsurance ceded</t>
  </si>
  <si>
    <t>Reinsurance accepted</t>
  </si>
  <si>
    <t>Reinsurance ceded</t>
  </si>
  <si>
    <t>Claims Outstanding at the beginning of the year</t>
  </si>
  <si>
    <t>Claims Outstanding at the end of the year</t>
  </si>
  <si>
    <t xml:space="preserve">NL-2 Profit and Loss Account </t>
  </si>
  <si>
    <t>For Q3 2019-20</t>
  </si>
  <si>
    <t>Upto 9 months 2019-20</t>
  </si>
  <si>
    <t>Manipal Cigna</t>
  </si>
  <si>
    <t>NL-3 Balance Sheet as at 31 December 2019</t>
  </si>
  <si>
    <t>NL-10 Reserves and Surplus as at 31 December 2019</t>
  </si>
  <si>
    <t>NL-12 Investments as at 31 December 2019</t>
  </si>
  <si>
    <t>NL-14 Fixed Assets. Net Block as at 31 December 2019</t>
  </si>
  <si>
    <t>NL-15 Cash and Bank Balance as at 31 December 2019</t>
  </si>
  <si>
    <t>NL-13 Loans as at 31 December 2019</t>
  </si>
  <si>
    <t>NL-17 Current Liabilities as at 31 December 2019</t>
  </si>
  <si>
    <t>NL-25 Quarterly Claims Data (Q3)</t>
  </si>
  <si>
    <t>NL-33 Solvency Margin KGII for the period ended 31 December 2019</t>
  </si>
  <si>
    <t>Gross Incurred Claims</t>
  </si>
  <si>
    <t>HDFC Ergo Health</t>
  </si>
  <si>
    <t>CROP</t>
  </si>
  <si>
    <t>HDFC ERGO Health</t>
  </si>
  <si>
    <t xml:space="preserve">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</si>
</sst>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₹&quot;\ * #,##0.00_ ;_ &quot;₹&quot;\ * \-#,##0.00_ ;_ &quot;₹&quot;\ * &quot;-&quot;??_ ;_ @_ "/>
    <numFmt numFmtId="164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9" fillId="0" borderId="0"/>
    <xf numFmtId="0" fontId="9" fillId="0" borderId="0"/>
  </cellStyleXfs>
  <cellXfs count="131">
    <xf numFmtId="0" fontId="0" fillId="0" borderId="0" xfId="0"/>
    <xf numFmtId="1" fontId="1" fillId="0" borderId="1" xfId="0" applyNumberFormat="1" applyFont="1" applyBorder="1" applyAlignment="1">
      <alignment horizontal="left" wrapText="1"/>
    </xf>
    <xf numFmtId="1" fontId="0" fillId="0" borderId="1" xfId="0" applyNumberForma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1" fillId="0" borderId="0" xfId="0" applyFont="1"/>
    <xf numFmtId="1" fontId="3" fillId="0" borderId="0" xfId="0" applyNumberFormat="1" applyFont="1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" fontId="1" fillId="0" borderId="0" xfId="0" applyNumberFormat="1" applyFont="1"/>
    <xf numFmtId="1" fontId="3" fillId="0" borderId="0" xfId="0" applyNumberFormat="1" applyFont="1"/>
    <xf numFmtId="1" fontId="0" fillId="0" borderId="1" xfId="0" applyNumberFormat="1" applyBorder="1"/>
    <xf numFmtId="1" fontId="1" fillId="0" borderId="1" xfId="0" applyNumberFormat="1" applyFont="1" applyBorder="1"/>
    <xf numFmtId="0" fontId="0" fillId="0" borderId="0" xfId="0" applyAlignment="1">
      <alignment wrapText="1"/>
    </xf>
    <xf numFmtId="0" fontId="3" fillId="0" borderId="0" xfId="0" applyFont="1" applyAlignment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1" fontId="3" fillId="0" borderId="0" xfId="0" applyNumberFormat="1" applyFont="1" applyAlignment="1"/>
    <xf numFmtId="1" fontId="0" fillId="0" borderId="0" xfId="0" applyNumberFormat="1" applyFont="1" applyAlignment="1">
      <alignment wrapText="1"/>
    </xf>
    <xf numFmtId="1" fontId="2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2" fontId="2" fillId="0" borderId="1" xfId="0" applyNumberFormat="1" applyFont="1" applyBorder="1" applyAlignment="1">
      <alignment vertical="center" wrapText="1"/>
    </xf>
    <xf numFmtId="2" fontId="0" fillId="0" borderId="1" xfId="0" applyNumberFormat="1" applyBorder="1"/>
    <xf numFmtId="2" fontId="0" fillId="0" borderId="1" xfId="0" applyNumberFormat="1" applyBorder="1" applyAlignment="1">
      <alignment wrapText="1"/>
    </xf>
    <xf numFmtId="2" fontId="2" fillId="0" borderId="1" xfId="0" applyNumberFormat="1" applyFont="1" applyBorder="1"/>
    <xf numFmtId="1" fontId="0" fillId="0" borderId="1" xfId="0" applyNumberFormat="1" applyFont="1" applyBorder="1" applyAlignment="1">
      <alignment wrapText="1"/>
    </xf>
    <xf numFmtId="1" fontId="5" fillId="0" borderId="1" xfId="0" applyNumberFormat="1" applyFont="1" applyBorder="1" applyAlignment="1">
      <alignment wrapText="1"/>
    </xf>
    <xf numFmtId="1" fontId="0" fillId="0" borderId="0" xfId="0" applyNumberFormat="1" applyFont="1"/>
    <xf numFmtId="1" fontId="6" fillId="0" borderId="0" xfId="0" applyNumberFormat="1" applyFont="1"/>
    <xf numFmtId="1" fontId="0" fillId="0" borderId="1" xfId="0" applyNumberFormat="1" applyFont="1" applyBorder="1"/>
    <xf numFmtId="1" fontId="0" fillId="0" borderId="0" xfId="0" applyNumberFormat="1" applyFont="1" applyBorder="1"/>
    <xf numFmtId="1" fontId="6" fillId="0" borderId="0" xfId="0" applyNumberFormat="1" applyFont="1" applyBorder="1"/>
    <xf numFmtId="1" fontId="6" fillId="0" borderId="0" xfId="0" applyNumberFormat="1" applyFont="1" applyAlignment="1">
      <alignment wrapText="1"/>
    </xf>
    <xf numFmtId="1" fontId="0" fillId="0" borderId="0" xfId="0" applyNumberFormat="1" applyFont="1" applyBorder="1" applyAlignment="1">
      <alignment wrapText="1"/>
    </xf>
    <xf numFmtId="1" fontId="6" fillId="0" borderId="0" xfId="0" applyNumberFormat="1" applyFont="1" applyBorder="1" applyAlignment="1">
      <alignment wrapText="1"/>
    </xf>
    <xf numFmtId="0" fontId="0" fillId="0" borderId="1" xfId="0" applyBorder="1"/>
    <xf numFmtId="0" fontId="1" fillId="0" borderId="1" xfId="0" applyFont="1" applyBorder="1"/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/>
    <xf numFmtId="2" fontId="1" fillId="0" borderId="0" xfId="0" applyNumberFormat="1" applyFont="1"/>
    <xf numFmtId="1" fontId="2" fillId="0" borderId="1" xfId="0" applyNumberFormat="1" applyFont="1" applyBorder="1"/>
    <xf numFmtId="1" fontId="2" fillId="0" borderId="0" xfId="0" applyNumberFormat="1" applyFont="1"/>
    <xf numFmtId="1" fontId="1" fillId="0" borderId="1" xfId="0" applyNumberFormat="1" applyFont="1" applyFill="1" applyBorder="1" applyAlignment="1">
      <alignment horizontal="center"/>
    </xf>
    <xf numFmtId="9" fontId="0" fillId="0" borderId="1" xfId="0" applyNumberFormat="1" applyBorder="1"/>
    <xf numFmtId="10" fontId="0" fillId="0" borderId="1" xfId="0" applyNumberFormat="1" applyBorder="1"/>
    <xf numFmtId="0" fontId="0" fillId="0" borderId="1" xfId="0" applyNumberFormat="1" applyBorder="1"/>
    <xf numFmtId="10" fontId="0" fillId="0" borderId="1" xfId="1" applyNumberFormat="1" applyFont="1" applyBorder="1"/>
    <xf numFmtId="2" fontId="0" fillId="0" borderId="1" xfId="1" applyNumberFormat="1" applyFont="1" applyBorder="1"/>
    <xf numFmtId="10" fontId="2" fillId="0" borderId="1" xfId="1" applyNumberFormat="1" applyFont="1" applyBorder="1"/>
    <xf numFmtId="2" fontId="0" fillId="0" borderId="0" xfId="0" applyNumberFormat="1"/>
    <xf numFmtId="2" fontId="1" fillId="0" borderId="1" xfId="0" applyNumberFormat="1" applyFont="1" applyBorder="1" applyAlignment="1">
      <alignment horizontal="left" wrapText="1"/>
    </xf>
    <xf numFmtId="2" fontId="2" fillId="0" borderId="0" xfId="0" applyNumberFormat="1" applyFont="1"/>
    <xf numFmtId="10" fontId="0" fillId="0" borderId="0" xfId="1" applyNumberFormat="1" applyFont="1"/>
    <xf numFmtId="1" fontId="3" fillId="0" borderId="0" xfId="0" applyNumberFormat="1" applyFont="1" applyFill="1" applyAlignment="1"/>
    <xf numFmtId="1" fontId="0" fillId="0" borderId="0" xfId="0" applyNumberFormat="1" applyFill="1"/>
    <xf numFmtId="1" fontId="0" fillId="0" borderId="0" xfId="0" applyNumberFormat="1" applyFill="1" applyAlignment="1">
      <alignment wrapText="1"/>
    </xf>
    <xf numFmtId="1" fontId="1" fillId="0" borderId="1" xfId="0" applyNumberFormat="1" applyFont="1" applyFill="1" applyBorder="1" applyAlignment="1">
      <alignment wrapText="1"/>
    </xf>
    <xf numFmtId="1" fontId="0" fillId="0" borderId="1" xfId="0" applyNumberFormat="1" applyFill="1" applyBorder="1"/>
    <xf numFmtId="1" fontId="0" fillId="0" borderId="1" xfId="0" applyNumberFormat="1" applyFill="1" applyBorder="1" applyAlignment="1">
      <alignment wrapText="1"/>
    </xf>
    <xf numFmtId="1" fontId="1" fillId="0" borderId="1" xfId="0" applyNumberFormat="1" applyFont="1" applyFill="1" applyBorder="1"/>
    <xf numFmtId="1" fontId="1" fillId="0" borderId="0" xfId="0" applyNumberFormat="1" applyFont="1" applyFill="1"/>
    <xf numFmtId="2" fontId="3" fillId="0" borderId="0" xfId="0" applyNumberFormat="1" applyFont="1" applyAlignment="1">
      <alignment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 wrapText="1"/>
    </xf>
    <xf numFmtId="1" fontId="5" fillId="0" borderId="0" xfId="0" applyNumberFormat="1" applyFont="1" applyAlignment="1">
      <alignment vertical="center"/>
    </xf>
    <xf numFmtId="1" fontId="1" fillId="0" borderId="1" xfId="0" applyNumberFormat="1" applyFont="1" applyFill="1" applyBorder="1" applyAlignment="1">
      <alignment horizontal="center"/>
    </xf>
    <xf numFmtId="1" fontId="0" fillId="0" borderId="5" xfId="0" applyNumberFormat="1" applyBorder="1"/>
    <xf numFmtId="1" fontId="1" fillId="0" borderId="1" xfId="0" applyNumberFormat="1" applyFont="1" applyBorder="1" applyAlignment="1">
      <alignment horizontal="center" wrapText="1"/>
    </xf>
    <xf numFmtId="1" fontId="0" fillId="0" borderId="0" xfId="0" applyNumberFormat="1" applyAlignment="1">
      <alignment horizontal="center"/>
    </xf>
    <xf numFmtId="1" fontId="0" fillId="0" borderId="0" xfId="1" applyNumberFormat="1" applyFont="1"/>
    <xf numFmtId="1" fontId="0" fillId="0" borderId="1" xfId="1" applyNumberFormat="1" applyFont="1" applyBorder="1"/>
    <xf numFmtId="1" fontId="1" fillId="0" borderId="1" xfId="0" applyNumberFormat="1" applyFont="1" applyFill="1" applyBorder="1" applyAlignment="1">
      <alignment horizontal="center"/>
    </xf>
    <xf numFmtId="9" fontId="0" fillId="0" borderId="1" xfId="1" applyFont="1" applyBorder="1"/>
    <xf numFmtId="9" fontId="2" fillId="0" borderId="1" xfId="1" applyFont="1" applyBorder="1"/>
    <xf numFmtId="1" fontId="2" fillId="0" borderId="1" xfId="0" applyNumberFormat="1" applyFont="1" applyBorder="1" applyAlignment="1">
      <alignment vertical="center" wrapText="1"/>
    </xf>
    <xf numFmtId="1" fontId="1" fillId="2" borderId="1" xfId="0" applyNumberFormat="1" applyFont="1" applyFill="1" applyBorder="1"/>
    <xf numFmtId="1" fontId="5" fillId="2" borderId="1" xfId="0" applyNumberFormat="1" applyFont="1" applyFill="1" applyBorder="1"/>
    <xf numFmtId="1" fontId="8" fillId="2" borderId="1" xfId="0" applyNumberFormat="1" applyFont="1" applyFill="1" applyBorder="1"/>
    <xf numFmtId="1" fontId="1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/>
    <xf numFmtId="1" fontId="0" fillId="2" borderId="1" xfId="0" applyNumberFormat="1" applyFont="1" applyFill="1" applyBorder="1"/>
    <xf numFmtId="1" fontId="0" fillId="2" borderId="1" xfId="0" applyNumberFormat="1" applyFill="1" applyBorder="1"/>
    <xf numFmtId="0" fontId="1" fillId="2" borderId="1" xfId="0" applyFont="1" applyFill="1" applyBorder="1"/>
    <xf numFmtId="0" fontId="5" fillId="2" borderId="1" xfId="0" applyFont="1" applyFill="1" applyBorder="1"/>
    <xf numFmtId="9" fontId="1" fillId="0" borderId="1" xfId="1" applyFont="1" applyBorder="1"/>
    <xf numFmtId="1" fontId="5" fillId="0" borderId="1" xfId="0" applyNumberFormat="1" applyFont="1" applyBorder="1"/>
    <xf numFmtId="1" fontId="1" fillId="2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 wrapText="1"/>
    </xf>
    <xf numFmtId="9" fontId="0" fillId="0" borderId="0" xfId="1" applyFont="1"/>
    <xf numFmtId="9" fontId="0" fillId="0" borderId="1" xfId="1" applyNumberFormat="1" applyFont="1" applyBorder="1"/>
    <xf numFmtId="1" fontId="0" fillId="0" borderId="0" xfId="0" applyNumberFormat="1" applyBorder="1"/>
    <xf numFmtId="1" fontId="0" fillId="0" borderId="0" xfId="0" applyNumberFormat="1" applyFill="1" applyBorder="1"/>
    <xf numFmtId="9" fontId="2" fillId="0" borderId="1" xfId="1" applyNumberFormat="1" applyFont="1" applyBorder="1"/>
    <xf numFmtId="2" fontId="1" fillId="0" borderId="1" xfId="0" applyNumberFormat="1" applyFont="1" applyBorder="1" applyAlignment="1">
      <alignment horizontal="center"/>
    </xf>
    <xf numFmtId="9" fontId="0" fillId="0" borderId="0" xfId="0" applyNumberFormat="1"/>
    <xf numFmtId="3" fontId="0" fillId="0" borderId="1" xfId="0" applyNumberFormat="1" applyBorder="1"/>
    <xf numFmtId="164" fontId="0" fillId="0" borderId="1" xfId="0" applyNumberFormat="1" applyBorder="1"/>
    <xf numFmtId="2" fontId="2" fillId="0" borderId="1" xfId="0" applyNumberFormat="1" applyFont="1" applyBorder="1" applyAlignment="1">
      <alignment horizontal="center" vertical="center" wrapText="1"/>
    </xf>
    <xf numFmtId="1" fontId="2" fillId="0" borderId="1" xfId="1" applyNumberFormat="1" applyFont="1" applyBorder="1"/>
    <xf numFmtId="2" fontId="0" fillId="0" borderId="0" xfId="0" applyNumberFormat="1"/>
    <xf numFmtId="49" fontId="0" fillId="0" borderId="1" xfId="0" applyNumberFormat="1" applyBorder="1"/>
    <xf numFmtId="1" fontId="1" fillId="0" borderId="2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wrapText="1"/>
    </xf>
    <xf numFmtId="10" fontId="2" fillId="0" borderId="1" xfId="1" applyNumberFormat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1" fillId="0" borderId="2" xfId="2" applyNumberFormat="1" applyFont="1" applyBorder="1" applyAlignment="1">
      <alignment horizontal="center"/>
    </xf>
    <xf numFmtId="1" fontId="1" fillId="0" borderId="3" xfId="2" applyNumberFormat="1" applyFont="1" applyBorder="1" applyAlignment="1">
      <alignment horizontal="center"/>
    </xf>
    <xf numFmtId="1" fontId="1" fillId="0" borderId="4" xfId="2" applyNumberFormat="1" applyFont="1" applyBorder="1" applyAlignment="1">
      <alignment horizontal="center"/>
    </xf>
    <xf numFmtId="1" fontId="1" fillId="0" borderId="3" xfId="0" applyNumberFormat="1" applyFont="1" applyFill="1" applyBorder="1" applyAlignment="1">
      <alignment horizontal="center"/>
    </xf>
  </cellXfs>
  <cellStyles count="5">
    <cellStyle name="Comma 3" xfId="4"/>
    <cellStyle name="Currency" xfId="2" builtinId="4"/>
    <cellStyle name="Normal" xfId="0" builtinId="0"/>
    <cellStyle name="Normal 2" xfId="3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5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3" sqref="A3"/>
    </sheetView>
  </sheetViews>
  <sheetFormatPr defaultRowHeight="15" x14ac:dyDescent="0.25"/>
  <cols>
    <col min="1" max="1" width="33.140625" style="7" customWidth="1"/>
    <col min="2" max="69" width="16" style="7" customWidth="1"/>
    <col min="70" max="70" width="16" style="44" customWidth="1"/>
    <col min="71" max="71" width="16" style="8" customWidth="1"/>
    <col min="72" max="16384" width="9.140625" style="7"/>
  </cols>
  <sheetData>
    <row r="1" spans="1:71" ht="18.75" x14ac:dyDescent="0.3">
      <c r="A1" s="5" t="s">
        <v>46</v>
      </c>
    </row>
    <row r="2" spans="1:71" x14ac:dyDescent="0.25">
      <c r="A2" s="6" t="s">
        <v>47</v>
      </c>
    </row>
    <row r="3" spans="1:71" x14ac:dyDescent="0.25">
      <c r="A3" s="1" t="s">
        <v>0</v>
      </c>
      <c r="B3" s="107" t="s">
        <v>1</v>
      </c>
      <c r="C3" s="108"/>
      <c r="D3" s="107" t="s">
        <v>2</v>
      </c>
      <c r="E3" s="108"/>
      <c r="F3" s="107" t="s">
        <v>3</v>
      </c>
      <c r="G3" s="108"/>
      <c r="H3" s="107" t="s">
        <v>307</v>
      </c>
      <c r="I3" s="108"/>
      <c r="J3" s="107" t="s">
        <v>5</v>
      </c>
      <c r="K3" s="108"/>
      <c r="L3" s="107" t="s">
        <v>6</v>
      </c>
      <c r="M3" s="108"/>
      <c r="N3" s="107" t="s">
        <v>7</v>
      </c>
      <c r="O3" s="108"/>
      <c r="P3" s="107" t="s">
        <v>8</v>
      </c>
      <c r="Q3" s="108"/>
      <c r="R3" s="107" t="s">
        <v>9</v>
      </c>
      <c r="S3" s="108"/>
      <c r="T3" s="107" t="s">
        <v>10</v>
      </c>
      <c r="U3" s="108"/>
      <c r="V3" s="107" t="s">
        <v>11</v>
      </c>
      <c r="W3" s="108"/>
      <c r="X3" s="107" t="s">
        <v>12</v>
      </c>
      <c r="Y3" s="108"/>
      <c r="Z3" s="107" t="s">
        <v>13</v>
      </c>
      <c r="AA3" s="108"/>
      <c r="AB3" s="107" t="s">
        <v>14</v>
      </c>
      <c r="AC3" s="108"/>
      <c r="AD3" s="107" t="s">
        <v>15</v>
      </c>
      <c r="AE3" s="108"/>
      <c r="AF3" s="107" t="s">
        <v>16</v>
      </c>
      <c r="AG3" s="108"/>
      <c r="AH3" s="107" t="s">
        <v>17</v>
      </c>
      <c r="AI3" s="108"/>
      <c r="AJ3" s="107" t="s">
        <v>18</v>
      </c>
      <c r="AK3" s="108"/>
      <c r="AL3" s="107" t="s">
        <v>296</v>
      </c>
      <c r="AM3" s="108"/>
      <c r="AN3" s="107" t="s">
        <v>19</v>
      </c>
      <c r="AO3" s="108"/>
      <c r="AP3" s="107" t="s">
        <v>20</v>
      </c>
      <c r="AQ3" s="108"/>
      <c r="AR3" s="107" t="s">
        <v>21</v>
      </c>
      <c r="AS3" s="108"/>
      <c r="AT3" s="107" t="s">
        <v>22</v>
      </c>
      <c r="AU3" s="108"/>
      <c r="AV3" s="107" t="s">
        <v>23</v>
      </c>
      <c r="AW3" s="108"/>
      <c r="AX3" s="107" t="s">
        <v>24</v>
      </c>
      <c r="AY3" s="108"/>
      <c r="AZ3" s="107" t="s">
        <v>25</v>
      </c>
      <c r="BA3" s="108"/>
      <c r="BB3" s="107" t="s">
        <v>26</v>
      </c>
      <c r="BC3" s="108"/>
      <c r="BD3" s="107" t="s">
        <v>27</v>
      </c>
      <c r="BE3" s="108"/>
      <c r="BF3" s="107" t="s">
        <v>28</v>
      </c>
      <c r="BG3" s="108"/>
      <c r="BH3" s="107" t="s">
        <v>29</v>
      </c>
      <c r="BI3" s="108"/>
      <c r="BJ3" s="107" t="s">
        <v>30</v>
      </c>
      <c r="BK3" s="108"/>
      <c r="BL3" s="107" t="s">
        <v>31</v>
      </c>
      <c r="BM3" s="108"/>
      <c r="BN3" s="111" t="s">
        <v>32</v>
      </c>
      <c r="BO3" s="112"/>
      <c r="BP3" s="107" t="s">
        <v>33</v>
      </c>
      <c r="BQ3" s="108"/>
      <c r="BR3" s="109" t="s">
        <v>34</v>
      </c>
      <c r="BS3" s="110"/>
    </row>
    <row r="4" spans="1:71" s="68" customFormat="1" ht="30" x14ac:dyDescent="0.25">
      <c r="A4" s="65"/>
      <c r="B4" s="66" t="s">
        <v>294</v>
      </c>
      <c r="C4" s="67" t="s">
        <v>295</v>
      </c>
      <c r="D4" s="66" t="s">
        <v>294</v>
      </c>
      <c r="E4" s="67" t="s">
        <v>295</v>
      </c>
      <c r="F4" s="66" t="s">
        <v>294</v>
      </c>
      <c r="G4" s="67" t="s">
        <v>295</v>
      </c>
      <c r="H4" s="66" t="s">
        <v>294</v>
      </c>
      <c r="I4" s="67" t="s">
        <v>295</v>
      </c>
      <c r="J4" s="66" t="s">
        <v>294</v>
      </c>
      <c r="K4" s="67" t="s">
        <v>295</v>
      </c>
      <c r="L4" s="66" t="s">
        <v>294</v>
      </c>
      <c r="M4" s="67" t="s">
        <v>295</v>
      </c>
      <c r="N4" s="66" t="s">
        <v>294</v>
      </c>
      <c r="O4" s="67" t="s">
        <v>295</v>
      </c>
      <c r="P4" s="66" t="s">
        <v>294</v>
      </c>
      <c r="Q4" s="67" t="s">
        <v>295</v>
      </c>
      <c r="R4" s="66" t="s">
        <v>294</v>
      </c>
      <c r="S4" s="67" t="s">
        <v>295</v>
      </c>
      <c r="T4" s="66" t="s">
        <v>294</v>
      </c>
      <c r="U4" s="67" t="s">
        <v>295</v>
      </c>
      <c r="V4" s="66" t="s">
        <v>294</v>
      </c>
      <c r="W4" s="67" t="s">
        <v>295</v>
      </c>
      <c r="X4" s="66" t="s">
        <v>294</v>
      </c>
      <c r="Y4" s="67" t="s">
        <v>295</v>
      </c>
      <c r="Z4" s="66" t="s">
        <v>294</v>
      </c>
      <c r="AA4" s="67" t="s">
        <v>295</v>
      </c>
      <c r="AB4" s="66" t="s">
        <v>294</v>
      </c>
      <c r="AC4" s="67" t="s">
        <v>295</v>
      </c>
      <c r="AD4" s="66" t="s">
        <v>294</v>
      </c>
      <c r="AE4" s="67" t="s">
        <v>295</v>
      </c>
      <c r="AF4" s="66" t="s">
        <v>294</v>
      </c>
      <c r="AG4" s="67" t="s">
        <v>295</v>
      </c>
      <c r="AH4" s="66" t="s">
        <v>294</v>
      </c>
      <c r="AI4" s="67" t="s">
        <v>295</v>
      </c>
      <c r="AJ4" s="66" t="s">
        <v>294</v>
      </c>
      <c r="AK4" s="67" t="s">
        <v>295</v>
      </c>
      <c r="AL4" s="66" t="s">
        <v>294</v>
      </c>
      <c r="AM4" s="67" t="s">
        <v>295</v>
      </c>
      <c r="AN4" s="66" t="s">
        <v>294</v>
      </c>
      <c r="AO4" s="67" t="s">
        <v>295</v>
      </c>
      <c r="AP4" s="66" t="s">
        <v>294</v>
      </c>
      <c r="AQ4" s="67" t="s">
        <v>295</v>
      </c>
      <c r="AR4" s="66" t="s">
        <v>294</v>
      </c>
      <c r="AS4" s="67" t="s">
        <v>295</v>
      </c>
      <c r="AT4" s="66" t="s">
        <v>294</v>
      </c>
      <c r="AU4" s="67" t="s">
        <v>295</v>
      </c>
      <c r="AV4" s="66" t="s">
        <v>294</v>
      </c>
      <c r="AW4" s="67" t="s">
        <v>295</v>
      </c>
      <c r="AX4" s="66" t="s">
        <v>294</v>
      </c>
      <c r="AY4" s="67" t="s">
        <v>295</v>
      </c>
      <c r="AZ4" s="66" t="s">
        <v>294</v>
      </c>
      <c r="BA4" s="67" t="s">
        <v>295</v>
      </c>
      <c r="BB4" s="66" t="s">
        <v>294</v>
      </c>
      <c r="BC4" s="67" t="s">
        <v>295</v>
      </c>
      <c r="BD4" s="66" t="s">
        <v>294</v>
      </c>
      <c r="BE4" s="67" t="s">
        <v>295</v>
      </c>
      <c r="BF4" s="66" t="s">
        <v>294</v>
      </c>
      <c r="BG4" s="67" t="s">
        <v>295</v>
      </c>
      <c r="BH4" s="66" t="s">
        <v>294</v>
      </c>
      <c r="BI4" s="67" t="s">
        <v>295</v>
      </c>
      <c r="BJ4" s="66" t="s">
        <v>294</v>
      </c>
      <c r="BK4" s="67" t="s">
        <v>295</v>
      </c>
      <c r="BL4" s="66" t="s">
        <v>294</v>
      </c>
      <c r="BM4" s="67" t="s">
        <v>295</v>
      </c>
      <c r="BN4" s="66" t="s">
        <v>294</v>
      </c>
      <c r="BO4" s="67" t="s">
        <v>295</v>
      </c>
      <c r="BP4" s="66" t="s">
        <v>294</v>
      </c>
      <c r="BQ4" s="67" t="s">
        <v>295</v>
      </c>
      <c r="BR4" s="66" t="s">
        <v>294</v>
      </c>
      <c r="BS4" s="67" t="s">
        <v>295</v>
      </c>
    </row>
    <row r="5" spans="1:71" x14ac:dyDescent="0.25">
      <c r="A5" s="2" t="s">
        <v>35</v>
      </c>
      <c r="B5" s="10">
        <v>456202</v>
      </c>
      <c r="C5" s="10">
        <v>1230601</v>
      </c>
      <c r="D5" s="10">
        <v>1586484</v>
      </c>
      <c r="E5" s="10">
        <v>3699650</v>
      </c>
      <c r="F5" s="10">
        <v>1564332</v>
      </c>
      <c r="G5" s="10">
        <v>14953975</v>
      </c>
      <c r="H5" s="10">
        <v>4696376</v>
      </c>
      <c r="I5" s="10">
        <v>11961368</v>
      </c>
      <c r="J5" s="7">
        <v>21563069</v>
      </c>
      <c r="K5" s="10">
        <v>62339191</v>
      </c>
      <c r="L5" s="10">
        <v>5167878</v>
      </c>
      <c r="M5" s="10">
        <v>13347105</v>
      </c>
      <c r="N5" s="10">
        <f>51885+244109+8496707</f>
        <v>8792701</v>
      </c>
      <c r="O5" s="10">
        <f>141774+711611+24852129</f>
        <v>25705514</v>
      </c>
      <c r="P5" s="10">
        <v>119588</v>
      </c>
      <c r="Q5" s="10">
        <v>1021956</v>
      </c>
      <c r="R5" s="10">
        <v>240203</v>
      </c>
      <c r="S5" s="10">
        <v>646116</v>
      </c>
      <c r="T5" s="10">
        <v>2269571.2599999998</v>
      </c>
      <c r="U5" s="10">
        <v>5957559.0499999998</v>
      </c>
      <c r="V5" s="10">
        <v>5396541</v>
      </c>
      <c r="W5" s="10">
        <v>14256689</v>
      </c>
      <c r="X5" s="10">
        <v>3601344</v>
      </c>
      <c r="Y5" s="10">
        <v>8676610</v>
      </c>
      <c r="Z5" s="10">
        <v>11391958</v>
      </c>
      <c r="AA5" s="10">
        <v>33068550</v>
      </c>
      <c r="AB5" s="10">
        <v>24561678</v>
      </c>
      <c r="AC5" s="10">
        <v>70579739</v>
      </c>
      <c r="AD5" s="10">
        <f>184511+134812+12786089</f>
        <v>13105412</v>
      </c>
      <c r="AE5" s="10">
        <f>527258+410577+33834931</f>
        <v>34772766</v>
      </c>
      <c r="AF5" s="10">
        <v>758090</v>
      </c>
      <c r="AG5" s="10">
        <v>2091429</v>
      </c>
      <c r="AH5" s="10">
        <f>62428+26567+2932852</f>
        <v>3021847</v>
      </c>
      <c r="AI5" s="10">
        <f>170198+69881+8214004</f>
        <v>8454083</v>
      </c>
      <c r="AJ5" s="10">
        <v>1808690</v>
      </c>
      <c r="AK5" s="10">
        <v>5144441</v>
      </c>
      <c r="AL5" s="10">
        <v>1292985</v>
      </c>
      <c r="AM5" s="10">
        <v>3654938</v>
      </c>
      <c r="AN5" s="10">
        <v>2190363</v>
      </c>
      <c r="AO5" s="10">
        <v>5375927</v>
      </c>
      <c r="AP5" s="10">
        <v>21191185.480274152</v>
      </c>
      <c r="AQ5" s="10">
        <v>70529690.618091062</v>
      </c>
      <c r="AR5" s="10">
        <f>1131908+6730765+53577855</f>
        <v>61440528</v>
      </c>
      <c r="AS5" s="10">
        <f>3110656+17762974+153199450</f>
        <v>174073080</v>
      </c>
      <c r="AT5" s="10">
        <f>498703+1404350+24978100</f>
        <v>26881153</v>
      </c>
      <c r="AU5" s="10">
        <f>1580372+5144520+72225190</f>
        <v>78950082</v>
      </c>
      <c r="AV5" s="10">
        <v>292222</v>
      </c>
      <c r="AW5" s="10">
        <v>820183</v>
      </c>
      <c r="AX5" s="10">
        <f>13534+422912+10120871</f>
        <v>10557317</v>
      </c>
      <c r="AY5" s="10">
        <f>45652+1129668+28560898</f>
        <v>29736218</v>
      </c>
      <c r="AZ5" s="10"/>
      <c r="BA5" s="10"/>
      <c r="BB5" s="10">
        <v>3816117</v>
      </c>
      <c r="BC5" s="10">
        <v>10611070</v>
      </c>
      <c r="BD5" s="10">
        <f>48917+108933+5757662</f>
        <v>5915512</v>
      </c>
      <c r="BE5" s="10">
        <f>148506+277841+16461055</f>
        <v>16887402</v>
      </c>
      <c r="BF5" s="10">
        <v>9649379</v>
      </c>
      <c r="BG5" s="10">
        <v>23147097</v>
      </c>
      <c r="BH5" s="10">
        <v>5790900</v>
      </c>
      <c r="BI5" s="10">
        <v>16902558</v>
      </c>
      <c r="BJ5" s="10">
        <v>10856209</v>
      </c>
      <c r="BK5" s="10">
        <v>29351207</v>
      </c>
      <c r="BL5" s="10">
        <v>12100637</v>
      </c>
      <c r="BM5" s="10">
        <v>36905235</v>
      </c>
      <c r="BN5" s="10">
        <v>34523297</v>
      </c>
      <c r="BO5" s="10">
        <v>96586633</v>
      </c>
      <c r="BP5" s="10">
        <f>17797+184513+4300447</f>
        <v>4502757</v>
      </c>
      <c r="BQ5" s="10">
        <f>42773+436192+9366613</f>
        <v>9845578</v>
      </c>
      <c r="BR5" s="84">
        <f>B5+D5+F5+H5+J5+L5+N5+P5+R5+T5+V5+X5+Z5+AB5+AD5+AF5+AH5+AJ5+AL5+AN5+AP5+AR5+AT5+AV5+AX5+AZ5+BB5+BD5+BF5+BH5+BJ5+BL5+BN5+BP5</f>
        <v>321102525.74027413</v>
      </c>
      <c r="BS5" s="84">
        <f>C5+E5+G5+I5+K5+M5+O5+Q5+S5+U5+W5+Y5+AA5+AC5+AE5+AG5+AI5+AK5+AM5+AO5+AQ5+AS5+AU5+AW5+AY5+BA5+BC5+BE5+BG5+BI5+BK5+BM5+BO5+BQ5</f>
        <v>921284240.66809106</v>
      </c>
    </row>
    <row r="6" spans="1:71" ht="30" x14ac:dyDescent="0.25">
      <c r="A6" s="2" t="s">
        <v>36</v>
      </c>
      <c r="B6" s="10">
        <v>4592</v>
      </c>
      <c r="C6" s="10">
        <v>26351</v>
      </c>
      <c r="D6" s="10">
        <v>8881</v>
      </c>
      <c r="E6" s="10">
        <v>23383</v>
      </c>
      <c r="F6" s="10"/>
      <c r="G6" s="10"/>
      <c r="H6" s="10">
        <v>122045</v>
      </c>
      <c r="I6" s="10">
        <v>222689</v>
      </c>
      <c r="J6" s="10">
        <v>389844</v>
      </c>
      <c r="K6" s="10">
        <v>1775777</v>
      </c>
      <c r="L6" s="10">
        <v>65423</v>
      </c>
      <c r="M6" s="10">
        <v>439648</v>
      </c>
      <c r="N6" s="10">
        <f>676+2310+447634</f>
        <v>450620</v>
      </c>
      <c r="O6" s="10">
        <f>2209+22615+965303</f>
        <v>990127</v>
      </c>
      <c r="P6" s="10">
        <v>3180</v>
      </c>
      <c r="Q6" s="10">
        <v>12330</v>
      </c>
      <c r="R6" s="10">
        <v>-764</v>
      </c>
      <c r="S6" s="10">
        <v>12503</v>
      </c>
      <c r="T6" s="10">
        <v>118476.58</v>
      </c>
      <c r="U6" s="10">
        <v>387149.96</v>
      </c>
      <c r="V6" s="10">
        <v>17450</v>
      </c>
      <c r="W6" s="10">
        <v>68531</v>
      </c>
      <c r="X6" s="10">
        <v>14104</v>
      </c>
      <c r="Y6" s="10">
        <v>33691</v>
      </c>
      <c r="Z6" s="10">
        <v>183195</v>
      </c>
      <c r="AA6" s="10">
        <v>315456</v>
      </c>
      <c r="AB6" s="10">
        <v>134168</v>
      </c>
      <c r="AC6" s="10">
        <v>1706591</v>
      </c>
      <c r="AD6" s="10">
        <f>2876+4026+207398</f>
        <v>214300</v>
      </c>
      <c r="AE6" s="10">
        <f>3418+4810+246924</f>
        <v>255152</v>
      </c>
      <c r="AF6" s="10">
        <v>-1643</v>
      </c>
      <c r="AG6" s="10">
        <v>59263</v>
      </c>
      <c r="AH6" s="10">
        <f>202+559+14453</f>
        <v>15214</v>
      </c>
      <c r="AI6" s="10">
        <f>735+2043+35933</f>
        <v>38711</v>
      </c>
      <c r="AJ6" s="10">
        <v>127290</v>
      </c>
      <c r="AK6" s="10">
        <v>404281</v>
      </c>
      <c r="AL6" s="10">
        <v>59708</v>
      </c>
      <c r="AM6" s="10">
        <v>80778</v>
      </c>
      <c r="AN6" s="10">
        <v>10176</v>
      </c>
      <c r="AO6" s="10">
        <v>24245</v>
      </c>
      <c r="AP6" s="10">
        <v>1964372</v>
      </c>
      <c r="AQ6" s="10">
        <v>4896922</v>
      </c>
      <c r="AR6" s="10">
        <f>197978+1381457+8458680</f>
        <v>10038115</v>
      </c>
      <c r="AS6" s="10">
        <f>384595+2683633+16431928</f>
        <v>19500156</v>
      </c>
      <c r="AT6" s="10">
        <f>484204+123785+5966833</f>
        <v>6574822</v>
      </c>
      <c r="AU6" s="10">
        <f>262185+1036355+11925783</f>
        <v>13224323</v>
      </c>
      <c r="AV6" s="10">
        <v>1512</v>
      </c>
      <c r="AW6" s="10">
        <v>7661</v>
      </c>
      <c r="AX6" s="10">
        <f>1000+9756+275682</f>
        <v>286438</v>
      </c>
      <c r="AY6" s="10">
        <f>3193+32260+865810</f>
        <v>901263</v>
      </c>
      <c r="AZ6" s="10"/>
      <c r="BA6" s="10"/>
      <c r="BB6" s="10">
        <v>9543</v>
      </c>
      <c r="BC6" s="10">
        <v>38346</v>
      </c>
      <c r="BD6" s="10">
        <f>327+1396+50562</f>
        <v>52285</v>
      </c>
      <c r="BE6" s="10">
        <f>1355+6335+195320</f>
        <v>203010</v>
      </c>
      <c r="BF6" s="10">
        <v>117440</v>
      </c>
      <c r="BG6" s="10">
        <v>288862</v>
      </c>
      <c r="BH6" s="10"/>
      <c r="BI6" s="10">
        <v>-660</v>
      </c>
      <c r="BJ6" s="10">
        <v>3197</v>
      </c>
      <c r="BK6" s="10">
        <v>39692</v>
      </c>
      <c r="BL6" s="10">
        <v>293532</v>
      </c>
      <c r="BM6" s="10">
        <v>930281</v>
      </c>
      <c r="BN6" s="10">
        <v>2816178</v>
      </c>
      <c r="BO6" s="10">
        <v>7691862</v>
      </c>
      <c r="BP6" s="10">
        <f>-60-1358-12400</f>
        <v>-13818</v>
      </c>
      <c r="BQ6" s="10">
        <f>82+1982+22355</f>
        <v>24419</v>
      </c>
      <c r="BR6" s="84">
        <f t="shared" ref="BR6:BR15" si="0">B6+D6+F6+H6+J6+L6+N6+P6+R6+T6+V6+X6+Z6+AB6+AD6+AF6+AH6+AJ6+AL6+AN6+AP6+AR6+AT6+AV6+AX6+AZ6+BB6+BD6+BF6+BH6+BJ6+BL6+BN6+BP6</f>
        <v>24079875.579999998</v>
      </c>
      <c r="BS6" s="84">
        <f t="shared" ref="BS6:BS15" si="1">C6+E6+G6+I6+K6+M6+O6+Q6+S6+U6+W6+Y6+AA6+AC6+AE6+AG6+AI6+AK6+AM6+AO6+AQ6+AS6+AU6+AW6+AY6+BA6+BC6+BE6+BG6+BI6+BK6+BM6+BO6+BQ6</f>
        <v>54622793.960000001</v>
      </c>
    </row>
    <row r="7" spans="1:71" x14ac:dyDescent="0.25">
      <c r="A7" s="2" t="s">
        <v>37</v>
      </c>
      <c r="B7" s="10">
        <f t="shared" ref="B7" si="2">B9-B8-B6-B5</f>
        <v>0</v>
      </c>
      <c r="C7" s="10">
        <f t="shared" ref="C7:K7" si="3">C9-C8-C6-C5</f>
        <v>0</v>
      </c>
      <c r="D7" s="10">
        <f t="shared" si="3"/>
        <v>-2448</v>
      </c>
      <c r="E7" s="10">
        <f t="shared" si="3"/>
        <v>-5750</v>
      </c>
      <c r="F7" s="10">
        <f t="shared" si="3"/>
        <v>112638</v>
      </c>
      <c r="G7" s="10">
        <f t="shared" si="3"/>
        <v>539593</v>
      </c>
      <c r="H7" s="10">
        <f t="shared" si="3"/>
        <v>8589</v>
      </c>
      <c r="I7" s="10">
        <f t="shared" si="3"/>
        <v>29341</v>
      </c>
      <c r="J7" s="10">
        <f t="shared" si="3"/>
        <v>41480</v>
      </c>
      <c r="K7" s="10">
        <f t="shared" si="3"/>
        <v>52699</v>
      </c>
      <c r="L7" s="10">
        <f t="shared" ref="L7:BQ7" si="4">L9-L8-L6-L5</f>
        <v>-5108</v>
      </c>
      <c r="M7" s="10">
        <f t="shared" si="4"/>
        <v>-12584</v>
      </c>
      <c r="N7" s="10">
        <f t="shared" si="4"/>
        <v>8168</v>
      </c>
      <c r="O7" s="10">
        <f t="shared" si="4"/>
        <v>23569</v>
      </c>
      <c r="P7" s="10">
        <f t="shared" si="4"/>
        <v>0</v>
      </c>
      <c r="Q7" s="10">
        <f t="shared" si="4"/>
        <v>21549</v>
      </c>
      <c r="R7" s="10">
        <f t="shared" si="4"/>
        <v>-56</v>
      </c>
      <c r="S7" s="10">
        <f t="shared" si="4"/>
        <v>722</v>
      </c>
      <c r="T7" s="10">
        <f t="shared" si="4"/>
        <v>-98374.219999999739</v>
      </c>
      <c r="U7" s="10">
        <f t="shared" si="4"/>
        <v>-133589.97999999858</v>
      </c>
      <c r="V7" s="10">
        <f t="shared" si="4"/>
        <v>127</v>
      </c>
      <c r="W7" s="10">
        <f t="shared" si="4"/>
        <v>1084</v>
      </c>
      <c r="X7" s="10">
        <f t="shared" si="4"/>
        <v>0</v>
      </c>
      <c r="Y7" s="10">
        <f t="shared" ref="Y7" si="5">Y9-Y8-Y6-Y5</f>
        <v>-2289</v>
      </c>
      <c r="Z7" s="10">
        <f t="shared" si="4"/>
        <v>25016</v>
      </c>
      <c r="AA7" s="10">
        <f t="shared" ref="AA7" si="6">AA9-AA8-AA6-AA5</f>
        <v>53183</v>
      </c>
      <c r="AB7" s="10">
        <f t="shared" si="4"/>
        <v>63792</v>
      </c>
      <c r="AC7" s="10">
        <f t="shared" ref="AC7" si="7">AC9-AC8-AC6-AC5</f>
        <v>198633</v>
      </c>
      <c r="AD7" s="10">
        <f t="shared" si="4"/>
        <v>757</v>
      </c>
      <c r="AE7" s="10">
        <f t="shared" ref="AE7" si="8">AE9-AE8-AE6-AE5</f>
        <v>2342</v>
      </c>
      <c r="AF7" s="10">
        <f t="shared" si="4"/>
        <v>187</v>
      </c>
      <c r="AG7" s="10">
        <f t="shared" ref="AG7" si="9">AG9-AG8-AG6-AG5</f>
        <v>493</v>
      </c>
      <c r="AH7" s="10">
        <f t="shared" si="4"/>
        <v>0</v>
      </c>
      <c r="AI7" s="10">
        <f t="shared" si="4"/>
        <v>0</v>
      </c>
      <c r="AJ7" s="10">
        <f t="shared" si="4"/>
        <v>43556</v>
      </c>
      <c r="AK7" s="10">
        <f t="shared" si="4"/>
        <v>101558</v>
      </c>
      <c r="AL7" s="10">
        <f t="shared" si="4"/>
        <v>1</v>
      </c>
      <c r="AM7" s="10">
        <f t="shared" si="4"/>
        <v>0</v>
      </c>
      <c r="AN7" s="10">
        <f t="shared" si="4"/>
        <v>363935</v>
      </c>
      <c r="AO7" s="10">
        <f t="shared" ref="AO7" si="10">AO9-AO8-AO6-AO5</f>
        <v>929664</v>
      </c>
      <c r="AP7" s="10">
        <f t="shared" si="4"/>
        <v>-2887</v>
      </c>
      <c r="AQ7" s="10">
        <f t="shared" ref="AQ7" si="11">AQ9-AQ8-AQ6-AQ5</f>
        <v>0</v>
      </c>
      <c r="AR7" s="10">
        <f t="shared" si="4"/>
        <v>-1</v>
      </c>
      <c r="AS7" s="10">
        <f t="shared" si="4"/>
        <v>0</v>
      </c>
      <c r="AT7" s="10">
        <f t="shared" si="4"/>
        <v>-401438</v>
      </c>
      <c r="AU7" s="10">
        <f t="shared" si="4"/>
        <v>-569926</v>
      </c>
      <c r="AV7" s="10">
        <f t="shared" si="4"/>
        <v>94099</v>
      </c>
      <c r="AW7" s="10">
        <f t="shared" si="4"/>
        <v>287642</v>
      </c>
      <c r="AX7" s="10">
        <f t="shared" si="4"/>
        <v>1520</v>
      </c>
      <c r="AY7" s="10">
        <f t="shared" si="4"/>
        <v>4127</v>
      </c>
      <c r="AZ7" s="10">
        <f t="shared" si="4"/>
        <v>0</v>
      </c>
      <c r="BA7" s="10">
        <f t="shared" si="4"/>
        <v>0</v>
      </c>
      <c r="BB7" s="10">
        <f t="shared" si="4"/>
        <v>0</v>
      </c>
      <c r="BC7" s="10">
        <f t="shared" ref="BC7" si="12">BC9-BC8-BC6-BC5</f>
        <v>0</v>
      </c>
      <c r="BD7" s="10">
        <f t="shared" si="4"/>
        <v>633</v>
      </c>
      <c r="BE7" s="10">
        <f t="shared" si="4"/>
        <v>4238</v>
      </c>
      <c r="BF7" s="10">
        <f t="shared" si="4"/>
        <v>7261</v>
      </c>
      <c r="BG7" s="10">
        <f t="shared" ref="BG7" si="13">BG9-BG8-BG6-BG5</f>
        <v>-213896</v>
      </c>
      <c r="BH7" s="10">
        <f t="shared" si="4"/>
        <v>30198</v>
      </c>
      <c r="BI7" s="10">
        <f t="shared" si="4"/>
        <v>31145</v>
      </c>
      <c r="BJ7" s="10">
        <f t="shared" ref="BJ7:BK7" si="14">BJ9-BJ8-BJ6-BJ5</f>
        <v>0</v>
      </c>
      <c r="BK7" s="10">
        <f t="shared" si="14"/>
        <v>0</v>
      </c>
      <c r="BL7" s="10">
        <f t="shared" si="4"/>
        <v>41659</v>
      </c>
      <c r="BM7" s="10">
        <f t="shared" ref="BM7:BO7" si="15">BM9-BM8-BM6-BM5</f>
        <v>190980</v>
      </c>
      <c r="BN7" s="10">
        <f t="shared" si="15"/>
        <v>3995</v>
      </c>
      <c r="BO7" s="10">
        <f t="shared" si="15"/>
        <v>10933</v>
      </c>
      <c r="BP7" s="10">
        <f t="shared" si="4"/>
        <v>-19091</v>
      </c>
      <c r="BQ7" s="10">
        <f t="shared" si="4"/>
        <v>-33132</v>
      </c>
      <c r="BR7" s="84">
        <f t="shared" si="0"/>
        <v>318207.78000000026</v>
      </c>
      <c r="BS7" s="84">
        <f t="shared" si="1"/>
        <v>1512328.0200000014</v>
      </c>
    </row>
    <row r="8" spans="1:71" x14ac:dyDescent="0.25">
      <c r="A8" s="2" t="s">
        <v>38</v>
      </c>
      <c r="B8" s="10">
        <v>39915</v>
      </c>
      <c r="C8" s="10">
        <v>92141</v>
      </c>
      <c r="D8" s="7">
        <v>86765</v>
      </c>
      <c r="E8" s="10">
        <v>229707</v>
      </c>
      <c r="F8" s="10">
        <v>1084200</v>
      </c>
      <c r="G8" s="10">
        <v>2823433</v>
      </c>
      <c r="H8" s="10">
        <v>281086</v>
      </c>
      <c r="I8" s="10">
        <v>756994</v>
      </c>
      <c r="J8" s="10">
        <v>2486781</v>
      </c>
      <c r="K8" s="10">
        <v>7630148</v>
      </c>
      <c r="L8" s="10">
        <v>742021</v>
      </c>
      <c r="M8" s="10">
        <v>2121127</v>
      </c>
      <c r="N8" s="10">
        <f>1031-11257+1171454</f>
        <v>1161228</v>
      </c>
      <c r="O8" s="10">
        <f>8287+84841+3623032</f>
        <v>3716160</v>
      </c>
      <c r="P8" s="10">
        <v>38733</v>
      </c>
      <c r="Q8" s="10">
        <v>104641</v>
      </c>
      <c r="R8" s="10">
        <v>8005</v>
      </c>
      <c r="S8" s="10">
        <v>18646</v>
      </c>
      <c r="T8" s="10">
        <v>1243588.67</v>
      </c>
      <c r="U8" s="10">
        <v>3628032.28</v>
      </c>
      <c r="V8" s="10">
        <v>705438</v>
      </c>
      <c r="W8" s="10">
        <v>1946450</v>
      </c>
      <c r="X8" s="10">
        <v>314259</v>
      </c>
      <c r="Y8" s="10">
        <v>740849</v>
      </c>
      <c r="Z8" s="10">
        <v>1661476</v>
      </c>
      <c r="AA8" s="10">
        <v>4627319</v>
      </c>
      <c r="AB8" s="10">
        <v>3229431</v>
      </c>
      <c r="AC8" s="10">
        <v>9534756</v>
      </c>
      <c r="AD8" s="10">
        <f>17193+22962+1218737</f>
        <v>1258892</v>
      </c>
      <c r="AE8" s="10">
        <f>49156+69165+3550872</f>
        <v>3669193</v>
      </c>
      <c r="AF8" s="10">
        <v>82082</v>
      </c>
      <c r="AG8" s="10">
        <v>209461</v>
      </c>
      <c r="AH8" s="10">
        <f>4946+15889+353181</f>
        <v>374016</v>
      </c>
      <c r="AI8" s="10">
        <f>17958+46748+877713</f>
        <v>942419</v>
      </c>
      <c r="AJ8" s="10">
        <v>331373</v>
      </c>
      <c r="AK8" s="10">
        <v>903500</v>
      </c>
      <c r="AL8" s="10">
        <v>62733</v>
      </c>
      <c r="AM8" s="10">
        <v>183681</v>
      </c>
      <c r="AN8" s="10">
        <v>111284</v>
      </c>
      <c r="AO8" s="10">
        <v>285090</v>
      </c>
      <c r="AP8" s="10">
        <v>2854149</v>
      </c>
      <c r="AQ8" s="10">
        <v>9676757</v>
      </c>
      <c r="AR8" s="10">
        <f>100580+701827+4297296</f>
        <v>5099703</v>
      </c>
      <c r="AS8" s="10">
        <f>341098+2380120+14573512</f>
        <v>17294730</v>
      </c>
      <c r="AT8" s="10">
        <f>64448+249745+3262009</f>
        <v>3576202</v>
      </c>
      <c r="AU8" s="10">
        <f>200465+792392+9118391</f>
        <v>10111248</v>
      </c>
      <c r="AV8" s="10">
        <v>54414</v>
      </c>
      <c r="AW8" s="10">
        <v>146354</v>
      </c>
      <c r="AX8" s="10">
        <f>6080+59634+1671617</f>
        <v>1737331</v>
      </c>
      <c r="AY8" s="10">
        <f>17355+175359+4706362</f>
        <v>4899076</v>
      </c>
      <c r="AZ8" s="10"/>
      <c r="BA8" s="10"/>
      <c r="BB8" s="10">
        <v>237348</v>
      </c>
      <c r="BC8" s="10">
        <v>675436</v>
      </c>
      <c r="BD8" s="10">
        <f>4828+34936+774460</f>
        <v>814224</v>
      </c>
      <c r="BE8" s="10">
        <f>14016+82856+2159661</f>
        <v>2256533</v>
      </c>
      <c r="BF8" s="10">
        <v>972932</v>
      </c>
      <c r="BG8" s="10">
        <v>2817870</v>
      </c>
      <c r="BH8" s="10">
        <v>1557006</v>
      </c>
      <c r="BI8" s="10">
        <v>4593594</v>
      </c>
      <c r="BJ8" s="10">
        <v>448768</v>
      </c>
      <c r="BK8" s="10">
        <v>1275717</v>
      </c>
      <c r="BL8" s="10">
        <v>1634897</v>
      </c>
      <c r="BM8" s="10">
        <v>4772422</v>
      </c>
      <c r="BN8" s="10">
        <v>4776313</v>
      </c>
      <c r="BO8" s="10">
        <v>13827673</v>
      </c>
      <c r="BP8" s="10">
        <f>1276+32650+424490</f>
        <v>458416</v>
      </c>
      <c r="BQ8" s="10">
        <f>4021+96927+1093193</f>
        <v>1194141</v>
      </c>
      <c r="BR8" s="84">
        <f t="shared" si="0"/>
        <v>39525009.670000002</v>
      </c>
      <c r="BS8" s="84">
        <f t="shared" si="1"/>
        <v>117705298.28</v>
      </c>
    </row>
    <row r="9" spans="1:71" s="8" customFormat="1" x14ac:dyDescent="0.25">
      <c r="A9" s="3" t="s">
        <v>39</v>
      </c>
      <c r="B9" s="11">
        <v>500709</v>
      </c>
      <c r="C9" s="11">
        <v>1349093</v>
      </c>
      <c r="D9" s="11">
        <v>1679682</v>
      </c>
      <c r="E9" s="11">
        <v>3946990</v>
      </c>
      <c r="F9" s="11">
        <v>2761170</v>
      </c>
      <c r="G9" s="11">
        <v>18317001</v>
      </c>
      <c r="H9" s="11">
        <v>5108096</v>
      </c>
      <c r="I9" s="11">
        <v>12970392</v>
      </c>
      <c r="J9" s="11">
        <v>24481174</v>
      </c>
      <c r="K9" s="11">
        <v>71797815</v>
      </c>
      <c r="L9" s="11">
        <v>5970214</v>
      </c>
      <c r="M9" s="11">
        <v>15895296</v>
      </c>
      <c r="N9" s="11">
        <f>53672+240564+10118481</f>
        <v>10412717</v>
      </c>
      <c r="O9" s="11">
        <f>152812+838650+29443908</f>
        <v>30435370</v>
      </c>
      <c r="P9" s="11">
        <v>161501</v>
      </c>
      <c r="Q9" s="11">
        <v>1160476</v>
      </c>
      <c r="R9" s="11">
        <v>247388</v>
      </c>
      <c r="S9" s="11">
        <v>677987</v>
      </c>
      <c r="T9" s="11">
        <v>3533262.29</v>
      </c>
      <c r="U9" s="11">
        <v>9839151.3100000005</v>
      </c>
      <c r="V9" s="11">
        <v>6119556</v>
      </c>
      <c r="W9" s="11">
        <v>16272754</v>
      </c>
      <c r="X9" s="11">
        <v>3929707</v>
      </c>
      <c r="Y9" s="11">
        <v>9448861</v>
      </c>
      <c r="Z9" s="11">
        <v>13261645</v>
      </c>
      <c r="AA9" s="11">
        <v>38064508</v>
      </c>
      <c r="AB9" s="11">
        <v>27989069</v>
      </c>
      <c r="AC9" s="11">
        <v>82019719</v>
      </c>
      <c r="AD9" s="11">
        <f>204499+161072+14213790</f>
        <v>14579361</v>
      </c>
      <c r="AE9" s="11">
        <f>579763+483464+37636226</f>
        <v>38699453</v>
      </c>
      <c r="AF9" s="11">
        <v>838716</v>
      </c>
      <c r="AG9" s="11">
        <v>2360646</v>
      </c>
      <c r="AH9" s="11">
        <f>67576+43015+3300486</f>
        <v>3411077</v>
      </c>
      <c r="AI9" s="11">
        <f>188891+118672+9127650</f>
        <v>9435213</v>
      </c>
      <c r="AJ9" s="11">
        <v>2310909</v>
      </c>
      <c r="AK9" s="11">
        <v>6553780</v>
      </c>
      <c r="AL9" s="11">
        <v>1415427</v>
      </c>
      <c r="AM9" s="11">
        <v>3919397</v>
      </c>
      <c r="AN9" s="11">
        <v>2675758</v>
      </c>
      <c r="AO9" s="11">
        <v>6614926</v>
      </c>
      <c r="AP9" s="11">
        <v>26006819.480274152</v>
      </c>
      <c r="AQ9" s="11">
        <v>85103369.618091062</v>
      </c>
      <c r="AR9" s="11">
        <f>1430466+8814048+66333831</f>
        <v>76578345</v>
      </c>
      <c r="AS9" s="11">
        <f>3836349+22826727+184204890</f>
        <v>210867966</v>
      </c>
      <c r="AT9" s="11">
        <f>678368+2106884+33845487</f>
        <v>36630739</v>
      </c>
      <c r="AU9" s="11">
        <f>2030278+6924613+92760836</f>
        <v>101715727</v>
      </c>
      <c r="AV9" s="11">
        <v>442247</v>
      </c>
      <c r="AW9" s="11">
        <v>1261840</v>
      </c>
      <c r="AX9" s="11">
        <f>20614+492302+12069690</f>
        <v>12582606</v>
      </c>
      <c r="AY9" s="11">
        <f>66200+1337287+34137197</f>
        <v>35540684</v>
      </c>
      <c r="AZ9" s="11"/>
      <c r="BA9" s="11"/>
      <c r="BB9" s="11">
        <v>4063008</v>
      </c>
      <c r="BC9" s="11">
        <v>11324852</v>
      </c>
      <c r="BD9" s="11">
        <f>54271+146950+6581433</f>
        <v>6782654</v>
      </c>
      <c r="BE9" s="11">
        <f>18818390+164076+368717</f>
        <v>19351183</v>
      </c>
      <c r="BF9" s="11">
        <v>10747012</v>
      </c>
      <c r="BG9" s="11">
        <v>26039933</v>
      </c>
      <c r="BH9" s="11">
        <v>7378104</v>
      </c>
      <c r="BI9" s="11">
        <v>21526637</v>
      </c>
      <c r="BJ9" s="11">
        <v>11308174</v>
      </c>
      <c r="BK9" s="11">
        <v>30666616</v>
      </c>
      <c r="BL9" s="11">
        <v>14070725</v>
      </c>
      <c r="BM9" s="11">
        <v>42798918</v>
      </c>
      <c r="BN9" s="11">
        <v>42119783</v>
      </c>
      <c r="BO9" s="11">
        <v>118117101</v>
      </c>
      <c r="BP9" s="11">
        <f>18946+216599+4692719</f>
        <v>4928264</v>
      </c>
      <c r="BQ9" s="11">
        <f>46735+539378+10444893</f>
        <v>11031006</v>
      </c>
      <c r="BR9" s="79">
        <f t="shared" si="0"/>
        <v>385025618.77027416</v>
      </c>
      <c r="BS9" s="79">
        <f t="shared" si="1"/>
        <v>1095124660.928091</v>
      </c>
    </row>
    <row r="10" spans="1:71" x14ac:dyDescent="0.25">
      <c r="A10" s="2" t="s">
        <v>40</v>
      </c>
      <c r="B10" s="10">
        <v>271105</v>
      </c>
      <c r="C10" s="10">
        <v>808224</v>
      </c>
      <c r="D10" s="10">
        <v>734934</v>
      </c>
      <c r="E10" s="10">
        <v>2153727</v>
      </c>
      <c r="F10" s="10">
        <v>1123083</v>
      </c>
      <c r="G10" s="10">
        <v>17555726</v>
      </c>
      <c r="H10" s="10">
        <v>3634195</v>
      </c>
      <c r="I10" s="10">
        <v>10378626</v>
      </c>
      <c r="J10" s="10">
        <v>15647279</v>
      </c>
      <c r="K10" s="10">
        <v>45799002</v>
      </c>
      <c r="L10" s="10">
        <v>3947854</v>
      </c>
      <c r="M10" s="10">
        <v>10592342</v>
      </c>
      <c r="N10" s="10">
        <f>24251+22663+6294109</f>
        <v>6341023</v>
      </c>
      <c r="O10" s="10">
        <f>89775+357593+19041998</f>
        <v>19489366</v>
      </c>
      <c r="P10" s="10">
        <v>260267</v>
      </c>
      <c r="Q10" s="10">
        <v>530949</v>
      </c>
      <c r="R10" s="10">
        <v>269197</v>
      </c>
      <c r="S10" s="10">
        <v>733307</v>
      </c>
      <c r="T10" s="10">
        <v>2590564.83</v>
      </c>
      <c r="U10" s="10">
        <v>4495413.62</v>
      </c>
      <c r="V10" s="10">
        <v>3137248</v>
      </c>
      <c r="W10" s="10">
        <v>8340385</v>
      </c>
      <c r="X10" s="10">
        <v>2782488</v>
      </c>
      <c r="Y10" s="10">
        <v>6482921</v>
      </c>
      <c r="Z10" s="10">
        <v>8643775</v>
      </c>
      <c r="AA10" s="10">
        <v>26028153</v>
      </c>
      <c r="AB10" s="10">
        <v>17604320</v>
      </c>
      <c r="AC10" s="10">
        <v>52116529</v>
      </c>
      <c r="AD10" s="10">
        <f>73813+37328+10973155</f>
        <v>11084296</v>
      </c>
      <c r="AE10" s="10">
        <f>362020+242908+30322997</f>
        <v>30927925</v>
      </c>
      <c r="AF10" s="10">
        <v>518899</v>
      </c>
      <c r="AG10" s="10">
        <v>1473355</v>
      </c>
      <c r="AH10" s="10">
        <f>5844-20799+2156749</f>
        <v>2141794</v>
      </c>
      <c r="AI10" s="10">
        <f>75086-9389+6165089</f>
        <v>6230786</v>
      </c>
      <c r="AJ10" s="10">
        <v>1566509</v>
      </c>
      <c r="AK10" s="10">
        <v>4353334</v>
      </c>
      <c r="AL10" s="10">
        <v>846458</v>
      </c>
      <c r="AM10" s="10">
        <v>2310449</v>
      </c>
      <c r="AN10" s="10">
        <v>1127616</v>
      </c>
      <c r="AO10" s="10">
        <v>3448051</v>
      </c>
      <c r="AP10" s="10">
        <v>23895533.299147688</v>
      </c>
      <c r="AQ10" s="10">
        <v>73393960.083913565</v>
      </c>
      <c r="AR10" s="10">
        <f>549047+4850876+49417466</f>
        <v>54817389</v>
      </c>
      <c r="AS10" s="10">
        <f>1859994+14310793+143185841</f>
        <v>159356628</v>
      </c>
      <c r="AT10" s="10">
        <f>314743+866593+25982490</f>
        <v>27163826</v>
      </c>
      <c r="AU10" s="10">
        <f>1799150+4017403+77291029</f>
        <v>83107582</v>
      </c>
      <c r="AV10" s="10">
        <v>172257</v>
      </c>
      <c r="AW10" s="10">
        <v>587770</v>
      </c>
      <c r="AX10" s="10">
        <f>22705+90087+8770937</f>
        <v>8883729</v>
      </c>
      <c r="AY10" s="10">
        <f>52780+524138+24298112</f>
        <v>24875030</v>
      </c>
      <c r="AZ10" s="10"/>
      <c r="BA10" s="10"/>
      <c r="BB10" s="10">
        <v>2325508</v>
      </c>
      <c r="BC10" s="10">
        <v>6673056</v>
      </c>
      <c r="BD10" s="10">
        <f>25679+18048+5090385</f>
        <v>5134112</v>
      </c>
      <c r="BE10" s="10">
        <f>94444+146887+14739937</f>
        <v>14981268</v>
      </c>
      <c r="BF10" s="10">
        <v>7162478</v>
      </c>
      <c r="BG10" s="10">
        <v>17498680</v>
      </c>
      <c r="BH10" s="10">
        <v>3318519</v>
      </c>
      <c r="BI10" s="10">
        <v>11048895</v>
      </c>
      <c r="BJ10" s="10">
        <v>8096144</v>
      </c>
      <c r="BK10" s="10">
        <v>22585595</v>
      </c>
      <c r="BL10" s="10">
        <v>8562974</v>
      </c>
      <c r="BM10" s="10">
        <v>27772807</v>
      </c>
      <c r="BN10" s="10">
        <v>31311767</v>
      </c>
      <c r="BO10" s="10">
        <v>103083723</v>
      </c>
      <c r="BP10" s="10">
        <f>8790+54532+3674889</f>
        <v>3738211</v>
      </c>
      <c r="BQ10" s="10">
        <f>33349+259280+7711951</f>
        <v>8004580</v>
      </c>
      <c r="BR10" s="84">
        <f t="shared" si="0"/>
        <v>268855352.12914765</v>
      </c>
      <c r="BS10" s="84">
        <f t="shared" si="1"/>
        <v>807218144.70391357</v>
      </c>
    </row>
    <row r="11" spans="1:71" x14ac:dyDescent="0.25">
      <c r="A11" s="2" t="s">
        <v>41</v>
      </c>
      <c r="B11" s="10">
        <v>-35045</v>
      </c>
      <c r="C11" s="10">
        <v>-104956</v>
      </c>
      <c r="D11" s="10">
        <v>149559</v>
      </c>
      <c r="E11" s="10">
        <v>326010</v>
      </c>
      <c r="F11" s="10">
        <v>-353011</v>
      </c>
      <c r="G11" s="10">
        <v>-2243095</v>
      </c>
      <c r="H11" s="10">
        <v>330734</v>
      </c>
      <c r="I11" s="10">
        <v>691324</v>
      </c>
      <c r="J11" s="10">
        <v>886304</v>
      </c>
      <c r="K11" s="10">
        <v>458472</v>
      </c>
      <c r="L11" s="10">
        <v>335742</v>
      </c>
      <c r="M11" s="10">
        <v>798685</v>
      </c>
      <c r="N11" s="10">
        <f>-4940+21231+260661</f>
        <v>276952</v>
      </c>
      <c r="O11" s="10">
        <f>-29551+50105+860836</f>
        <v>881390</v>
      </c>
      <c r="P11" s="10">
        <v>-15866</v>
      </c>
      <c r="Q11" s="10">
        <v>-17440</v>
      </c>
      <c r="R11" s="10">
        <v>34291</v>
      </c>
      <c r="S11" s="10">
        <v>16843</v>
      </c>
      <c r="T11" s="10">
        <v>-87526.56</v>
      </c>
      <c r="U11" s="10">
        <v>-271366.92</v>
      </c>
      <c r="V11" s="10">
        <v>159108</v>
      </c>
      <c r="W11" s="10">
        <v>640979</v>
      </c>
      <c r="X11" s="10">
        <v>-77266</v>
      </c>
      <c r="Y11" s="10">
        <v>-366895</v>
      </c>
      <c r="Z11" s="10">
        <v>-276323</v>
      </c>
      <c r="AA11" s="10">
        <v>-1670120</v>
      </c>
      <c r="AB11" s="10">
        <v>770497</v>
      </c>
      <c r="AC11" s="10">
        <v>1936066</v>
      </c>
      <c r="AD11" s="10">
        <f>-4559-53891+490788</f>
        <v>432338</v>
      </c>
      <c r="AE11" s="10">
        <f>-13630-285041+1605055</f>
        <v>1306384</v>
      </c>
      <c r="AF11" s="10">
        <v>83992</v>
      </c>
      <c r="AG11" s="10">
        <v>209033</v>
      </c>
      <c r="AH11" s="10">
        <f>9078+3568+367299</f>
        <v>379945</v>
      </c>
      <c r="AI11" s="10">
        <f>33041-2671+1055715</f>
        <v>1086085</v>
      </c>
      <c r="AJ11" s="10">
        <v>-216145</v>
      </c>
      <c r="AK11" s="10">
        <v>-508163</v>
      </c>
      <c r="AL11" s="10">
        <v>157543</v>
      </c>
      <c r="AM11" s="10">
        <v>439554</v>
      </c>
      <c r="AN11" s="10">
        <v>145421</v>
      </c>
      <c r="AO11" s="10">
        <v>125123</v>
      </c>
      <c r="AP11" s="10">
        <v>1620460.2703996622</v>
      </c>
      <c r="AQ11" s="10">
        <v>5198377.380399663</v>
      </c>
      <c r="AR11" s="10">
        <f>141597+1491295+4461050</f>
        <v>6093942</v>
      </c>
      <c r="AS11" s="10">
        <f>473940+3295881+12838292</f>
        <v>16608113</v>
      </c>
      <c r="AT11" s="10">
        <f>47651+259021+2035221</f>
        <v>2341893</v>
      </c>
      <c r="AU11" s="10">
        <f>161281+796204+4590516</f>
        <v>5548001</v>
      </c>
      <c r="AV11" s="10">
        <v>28527</v>
      </c>
      <c r="AW11" s="10">
        <v>75309</v>
      </c>
      <c r="AX11" s="10">
        <f>12254-32870-520232</f>
        <v>-540848</v>
      </c>
      <c r="AY11" s="10">
        <f>-9478-532779-1027054</f>
        <v>-1569311</v>
      </c>
      <c r="AZ11" s="10"/>
      <c r="BA11" s="10"/>
      <c r="BB11" s="10">
        <v>-48586</v>
      </c>
      <c r="BC11" s="10">
        <v>-231928</v>
      </c>
      <c r="BD11" s="10">
        <f>8594+9183+372530</f>
        <v>390307</v>
      </c>
      <c r="BE11" s="10">
        <f>17927+27629+947451</f>
        <v>993007</v>
      </c>
      <c r="BF11" s="10">
        <v>387389</v>
      </c>
      <c r="BG11" s="10">
        <v>-655066</v>
      </c>
      <c r="BH11" s="10">
        <v>412460</v>
      </c>
      <c r="BI11" s="10">
        <v>919599</v>
      </c>
      <c r="BJ11" s="10">
        <v>1305103</v>
      </c>
      <c r="BK11" s="10">
        <v>3141356</v>
      </c>
      <c r="BL11" s="10">
        <v>195359</v>
      </c>
      <c r="BM11" s="10">
        <v>-495466</v>
      </c>
      <c r="BN11" s="10">
        <v>1418171</v>
      </c>
      <c r="BO11" s="10">
        <v>4688025</v>
      </c>
      <c r="BP11" s="10">
        <f>-7478+19762+91631</f>
        <v>103915</v>
      </c>
      <c r="BQ11" s="10">
        <f>-10096+20439+361940</f>
        <v>372283</v>
      </c>
      <c r="BR11" s="84">
        <f t="shared" si="0"/>
        <v>16789335.710399661</v>
      </c>
      <c r="BS11" s="84">
        <f t="shared" si="1"/>
        <v>38326211.460399665</v>
      </c>
    </row>
    <row r="12" spans="1:71" ht="30" x14ac:dyDescent="0.25">
      <c r="A12" s="2" t="s">
        <v>42</v>
      </c>
      <c r="B12" s="10">
        <v>826603</v>
      </c>
      <c r="C12" s="10">
        <v>2279088</v>
      </c>
      <c r="D12" s="10">
        <v>1300949</v>
      </c>
      <c r="E12" s="10">
        <v>3331884</v>
      </c>
      <c r="F12" s="10">
        <v>506069</v>
      </c>
      <c r="G12" s="10">
        <v>1986198</v>
      </c>
      <c r="H12" s="10">
        <v>1448508</v>
      </c>
      <c r="I12" s="10">
        <v>4683396</v>
      </c>
      <c r="J12" s="10">
        <v>5901014</v>
      </c>
      <c r="K12" s="10">
        <v>17773237</v>
      </c>
      <c r="L12" s="10">
        <v>2020816</v>
      </c>
      <c r="M12" s="10">
        <v>5466173</v>
      </c>
      <c r="N12" s="10">
        <f>28722+10010+2579587</f>
        <v>2618319</v>
      </c>
      <c r="O12" s="10">
        <f>60201+120134+7519695</f>
        <v>7700030</v>
      </c>
      <c r="P12" s="10">
        <v>256218</v>
      </c>
      <c r="Q12" s="10">
        <v>903425</v>
      </c>
      <c r="R12" s="10">
        <v>228412</v>
      </c>
      <c r="S12" s="10">
        <v>595559</v>
      </c>
      <c r="T12" s="10">
        <v>446161.19</v>
      </c>
      <c r="U12" s="10">
        <v>1608302.71</v>
      </c>
      <c r="V12" s="10">
        <v>2215314</v>
      </c>
      <c r="W12" s="10">
        <v>6165973</v>
      </c>
      <c r="X12" s="10">
        <v>1892561</v>
      </c>
      <c r="Y12" s="10">
        <v>5229098</v>
      </c>
      <c r="Z12" s="10">
        <v>3570651</v>
      </c>
      <c r="AA12" s="10">
        <v>10431256</v>
      </c>
      <c r="AB12" s="10">
        <v>6407238</v>
      </c>
      <c r="AC12" s="10">
        <v>17284399</v>
      </c>
      <c r="AD12" s="10">
        <f>34139+38736+1876084</f>
        <v>1948959</v>
      </c>
      <c r="AE12" s="10">
        <f>95540+77364+5146474</f>
        <v>5319378</v>
      </c>
      <c r="AF12" s="10">
        <v>340674</v>
      </c>
      <c r="AG12" s="10">
        <v>956874</v>
      </c>
      <c r="AH12" s="10">
        <f>13304+26349+1233147</f>
        <v>1272800</v>
      </c>
      <c r="AI12" s="10">
        <f>52783+105744+3409819</f>
        <v>3568346</v>
      </c>
      <c r="AJ12" s="10">
        <v>925181</v>
      </c>
      <c r="AK12" s="10">
        <v>2625867</v>
      </c>
      <c r="AL12" s="10">
        <v>813812</v>
      </c>
      <c r="AM12" s="10">
        <v>2155764</v>
      </c>
      <c r="AN12" s="10">
        <v>986046</v>
      </c>
      <c r="AO12" s="10">
        <v>2850880</v>
      </c>
      <c r="AP12" s="10">
        <v>11134330</v>
      </c>
      <c r="AQ12" s="10">
        <v>25585113</v>
      </c>
      <c r="AR12" s="10">
        <f>180300+1066214+8567829</f>
        <v>9814343</v>
      </c>
      <c r="AS12" s="10">
        <f>541710+3157404+24862892</f>
        <v>28562006</v>
      </c>
      <c r="AT12" s="10">
        <f>186470+782930+6427286</f>
        <v>7396686</v>
      </c>
      <c r="AU12" s="10">
        <f>437753+2275405+17011649</f>
        <v>19724807</v>
      </c>
      <c r="AV12" s="10">
        <v>209768</v>
      </c>
      <c r="AW12" s="10">
        <v>595369</v>
      </c>
      <c r="AX12" s="10">
        <f>10956+190198+2931463</f>
        <v>3132617</v>
      </c>
      <c r="AY12" s="10">
        <f>57373+424210+9561482</f>
        <v>10043065</v>
      </c>
      <c r="AZ12" s="10"/>
      <c r="BA12" s="10"/>
      <c r="BB12" s="10">
        <v>1794940</v>
      </c>
      <c r="BC12" s="10">
        <v>4667679</v>
      </c>
      <c r="BD12" s="10">
        <f>12151+29654+1136389</f>
        <v>1178194</v>
      </c>
      <c r="BE12" s="10">
        <f>32288+129474+3173426</f>
        <v>3335188</v>
      </c>
      <c r="BF12" s="10">
        <v>2310925</v>
      </c>
      <c r="BG12" s="10">
        <v>6110466</v>
      </c>
      <c r="BH12" s="10">
        <v>1225687</v>
      </c>
      <c r="BI12" s="10">
        <v>3298607</v>
      </c>
      <c r="BJ12" s="10">
        <v>2330007</v>
      </c>
      <c r="BK12" s="10">
        <v>7284700</v>
      </c>
      <c r="BL12" s="10">
        <v>3700507</v>
      </c>
      <c r="BM12" s="10">
        <v>12529330</v>
      </c>
      <c r="BN12" s="10">
        <v>11589118</v>
      </c>
      <c r="BO12" s="10">
        <v>23581094</v>
      </c>
      <c r="BP12" s="10">
        <f>660+18744+742980</f>
        <v>762384</v>
      </c>
      <c r="BQ12" s="10">
        <f>7637+67983+1817920</f>
        <v>1893540</v>
      </c>
      <c r="BR12" s="84">
        <f t="shared" si="0"/>
        <v>92505811.189999998</v>
      </c>
      <c r="BS12" s="84">
        <f t="shared" si="1"/>
        <v>250126091.71000001</v>
      </c>
    </row>
    <row r="13" spans="1:71" x14ac:dyDescent="0.25">
      <c r="A13" s="2" t="s">
        <v>45</v>
      </c>
      <c r="B13" s="10">
        <f>B14-B12-B11-B10</f>
        <v>-20168</v>
      </c>
      <c r="C13" s="10">
        <f t="shared" ref="C13:K13" si="16">C14-C12-C11-C10</f>
        <v>-34213</v>
      </c>
      <c r="D13" s="10">
        <f t="shared" si="16"/>
        <v>0</v>
      </c>
      <c r="E13" s="10">
        <f t="shared" si="16"/>
        <v>0</v>
      </c>
      <c r="F13" s="10">
        <f t="shared" si="16"/>
        <v>63423</v>
      </c>
      <c r="G13" s="10">
        <f t="shared" si="16"/>
        <v>114032</v>
      </c>
      <c r="H13" s="10">
        <f t="shared" si="16"/>
        <v>0</v>
      </c>
      <c r="I13" s="10">
        <f t="shared" si="16"/>
        <v>0</v>
      </c>
      <c r="J13" s="10">
        <f t="shared" si="16"/>
        <v>8352</v>
      </c>
      <c r="K13" s="10">
        <f t="shared" si="16"/>
        <v>23849</v>
      </c>
      <c r="L13" s="10">
        <f t="shared" ref="L13:BP13" si="17">L14-L12-L11-L10</f>
        <v>26516</v>
      </c>
      <c r="M13" s="10">
        <f t="shared" si="17"/>
        <v>21028</v>
      </c>
      <c r="N13" s="10">
        <f t="shared" si="17"/>
        <v>0</v>
      </c>
      <c r="O13" s="10">
        <f t="shared" si="17"/>
        <v>0</v>
      </c>
      <c r="P13" s="10">
        <f t="shared" si="17"/>
        <v>-158934</v>
      </c>
      <c r="Q13" s="10">
        <f t="shared" si="17"/>
        <v>-13219</v>
      </c>
      <c r="R13" s="10">
        <f t="shared" si="17"/>
        <v>-11083</v>
      </c>
      <c r="S13" s="10">
        <f t="shared" si="17"/>
        <v>-61900</v>
      </c>
      <c r="T13" s="10">
        <f t="shared" si="17"/>
        <v>123383.76000000024</v>
      </c>
      <c r="U13" s="10">
        <f t="shared" si="17"/>
        <v>689225.25</v>
      </c>
      <c r="V13" s="10">
        <f t="shared" si="17"/>
        <v>-1</v>
      </c>
      <c r="W13" s="10">
        <f t="shared" si="17"/>
        <v>1</v>
      </c>
      <c r="X13" s="10">
        <f t="shared" si="17"/>
        <v>0</v>
      </c>
      <c r="Y13" s="10">
        <f t="shared" ref="Y13" si="18">Y14-Y12-Y11-Y10</f>
        <v>-10955</v>
      </c>
      <c r="Z13" s="10">
        <f t="shared" si="17"/>
        <v>0</v>
      </c>
      <c r="AA13" s="10">
        <f t="shared" ref="AA13" si="19">AA14-AA12-AA11-AA10</f>
        <v>0</v>
      </c>
      <c r="AB13" s="10">
        <f t="shared" si="17"/>
        <v>0</v>
      </c>
      <c r="AC13" s="10">
        <f t="shared" ref="AC13" si="20">AC14-AC12-AC11-AC10</f>
        <v>0</v>
      </c>
      <c r="AD13" s="10">
        <f t="shared" si="17"/>
        <v>0</v>
      </c>
      <c r="AE13" s="10">
        <f t="shared" ref="AE13" si="21">AE14-AE12-AE11-AE10</f>
        <v>0</v>
      </c>
      <c r="AF13" s="10">
        <f t="shared" si="17"/>
        <v>334</v>
      </c>
      <c r="AG13" s="10">
        <f t="shared" ref="AG13" si="22">AG14-AG12-AG11-AG10</f>
        <v>855</v>
      </c>
      <c r="AH13" s="10">
        <f t="shared" si="17"/>
        <v>0</v>
      </c>
      <c r="AI13" s="10">
        <f t="shared" ref="AI13" si="23">AI14-AI12-AI11-AI10</f>
        <v>2</v>
      </c>
      <c r="AJ13" s="10">
        <f t="shared" si="17"/>
        <v>-155</v>
      </c>
      <c r="AK13" s="10">
        <f t="shared" si="17"/>
        <v>-231</v>
      </c>
      <c r="AL13" s="10">
        <f t="shared" si="17"/>
        <v>0</v>
      </c>
      <c r="AM13" s="10">
        <f t="shared" si="17"/>
        <v>-1</v>
      </c>
      <c r="AN13" s="10">
        <f t="shared" si="17"/>
        <v>0</v>
      </c>
      <c r="AO13" s="10">
        <f t="shared" ref="AO13" si="24">AO14-AO12-AO11-AO10</f>
        <v>0</v>
      </c>
      <c r="AP13" s="10">
        <f t="shared" si="17"/>
        <v>1614057.5000000037</v>
      </c>
      <c r="AQ13" s="10">
        <f t="shared" ref="AQ13" si="25">AQ14-AQ12-AQ11-AQ10</f>
        <v>2137349</v>
      </c>
      <c r="AR13" s="10">
        <f t="shared" si="17"/>
        <v>381986</v>
      </c>
      <c r="AS13" s="10">
        <f t="shared" ref="AS13" si="26">AS14-AS12-AS11-AS10</f>
        <v>804625</v>
      </c>
      <c r="AT13" s="10">
        <f t="shared" si="17"/>
        <v>0</v>
      </c>
      <c r="AU13" s="10">
        <f t="shared" ref="AU13" si="27">AU14-AU12-AU11-AU10</f>
        <v>-361036</v>
      </c>
      <c r="AV13" s="10">
        <f t="shared" si="17"/>
        <v>0</v>
      </c>
      <c r="AW13" s="10">
        <f t="shared" ref="AW13" si="28">AW14-AW12-AW11-AW10</f>
        <v>-903</v>
      </c>
      <c r="AX13" s="10">
        <f t="shared" si="17"/>
        <v>0</v>
      </c>
      <c r="AY13" s="10">
        <f t="shared" si="17"/>
        <v>0</v>
      </c>
      <c r="AZ13" s="10">
        <f t="shared" si="17"/>
        <v>0</v>
      </c>
      <c r="BA13" s="10">
        <f t="shared" si="17"/>
        <v>0</v>
      </c>
      <c r="BB13" s="10">
        <f t="shared" si="17"/>
        <v>0</v>
      </c>
      <c r="BC13" s="10">
        <f t="shared" ref="BC13" si="29">BC14-BC12-BC11-BC10</f>
        <v>0</v>
      </c>
      <c r="BD13" s="10">
        <f t="shared" si="17"/>
        <v>0</v>
      </c>
      <c r="BE13" s="10">
        <f t="shared" si="17"/>
        <v>0</v>
      </c>
      <c r="BF13" s="10">
        <f t="shared" si="17"/>
        <v>0</v>
      </c>
      <c r="BG13" s="10">
        <f t="shared" ref="BG13" si="30">BG14-BG12-BG11-BG10</f>
        <v>0</v>
      </c>
      <c r="BH13" s="10">
        <f t="shared" si="17"/>
        <v>0</v>
      </c>
      <c r="BI13" s="10">
        <f t="shared" si="17"/>
        <v>0</v>
      </c>
      <c r="BJ13" s="10">
        <f t="shared" ref="BJ13:BK13" si="31">BJ14-BJ12-BJ11-BJ10</f>
        <v>-1</v>
      </c>
      <c r="BK13" s="10">
        <f t="shared" si="31"/>
        <v>0</v>
      </c>
      <c r="BL13" s="10">
        <f t="shared" si="17"/>
        <v>0</v>
      </c>
      <c r="BM13" s="10">
        <f t="shared" ref="BM13:BO13" si="32">BM14-BM12-BM11-BM10</f>
        <v>0</v>
      </c>
      <c r="BN13" s="10">
        <f t="shared" si="32"/>
        <v>187567</v>
      </c>
      <c r="BO13" s="10">
        <f t="shared" si="32"/>
        <v>1174433</v>
      </c>
      <c r="BP13" s="10">
        <f t="shared" si="17"/>
        <v>1340</v>
      </c>
      <c r="BQ13" s="10">
        <f t="shared" ref="BQ13" si="33">BQ14-BQ12-BQ11-BQ10</f>
        <v>2938</v>
      </c>
      <c r="BR13" s="84">
        <f t="shared" si="0"/>
        <v>2216617.260000004</v>
      </c>
      <c r="BS13" s="84">
        <f t="shared" si="1"/>
        <v>4485879.25</v>
      </c>
    </row>
    <row r="14" spans="1:71" s="8" customFormat="1" x14ac:dyDescent="0.25">
      <c r="A14" s="3" t="s">
        <v>43</v>
      </c>
      <c r="B14" s="11">
        <v>1042495</v>
      </c>
      <c r="C14" s="11">
        <v>2948143</v>
      </c>
      <c r="D14" s="11">
        <v>2185442</v>
      </c>
      <c r="E14" s="11">
        <v>5811621</v>
      </c>
      <c r="F14" s="11">
        <v>1339564</v>
      </c>
      <c r="G14" s="11">
        <v>17412861</v>
      </c>
      <c r="H14" s="11">
        <v>5413437</v>
      </c>
      <c r="I14" s="11">
        <v>15753346</v>
      </c>
      <c r="J14" s="11">
        <v>22442949</v>
      </c>
      <c r="K14" s="11">
        <v>64054560</v>
      </c>
      <c r="L14" s="11">
        <v>6330928</v>
      </c>
      <c r="M14" s="11">
        <v>16878228</v>
      </c>
      <c r="N14" s="11">
        <f>48033+53904+9134357</f>
        <v>9236294</v>
      </c>
      <c r="O14" s="11">
        <f>120425+527832+27422529</f>
        <v>28070786</v>
      </c>
      <c r="P14" s="11">
        <v>341685</v>
      </c>
      <c r="Q14" s="11">
        <v>1403715</v>
      </c>
      <c r="R14" s="11">
        <v>520817</v>
      </c>
      <c r="S14" s="11">
        <v>1283809</v>
      </c>
      <c r="T14" s="11">
        <v>3072583.22</v>
      </c>
      <c r="U14" s="11">
        <v>6521574.6600000001</v>
      </c>
      <c r="V14" s="11">
        <v>5511669</v>
      </c>
      <c r="W14" s="11">
        <v>15147338</v>
      </c>
      <c r="X14" s="11">
        <v>4597783</v>
      </c>
      <c r="Y14" s="11">
        <v>11334169</v>
      </c>
      <c r="Z14" s="11">
        <v>11938103</v>
      </c>
      <c r="AA14" s="11">
        <v>34789289</v>
      </c>
      <c r="AB14" s="11">
        <v>24782055</v>
      </c>
      <c r="AC14" s="11">
        <v>71336994</v>
      </c>
      <c r="AD14" s="11">
        <f>103393+22173+13340027</f>
        <v>13465593</v>
      </c>
      <c r="AE14" s="11">
        <f>443930+35231+37074526</f>
        <v>37553687</v>
      </c>
      <c r="AF14" s="11">
        <v>943899</v>
      </c>
      <c r="AG14" s="11">
        <v>2640117</v>
      </c>
      <c r="AH14" s="11">
        <f>28226+9118+3757195</f>
        <v>3794539</v>
      </c>
      <c r="AI14" s="11">
        <f>160911+93684+10630624</f>
        <v>10885219</v>
      </c>
      <c r="AJ14" s="11">
        <v>2275390</v>
      </c>
      <c r="AK14" s="11">
        <v>6470807</v>
      </c>
      <c r="AL14" s="11">
        <v>1817813</v>
      </c>
      <c r="AM14" s="11">
        <v>4905766</v>
      </c>
      <c r="AN14" s="11">
        <v>2259083</v>
      </c>
      <c r="AO14" s="11">
        <v>6424054</v>
      </c>
      <c r="AP14" s="11">
        <v>38264381.069547355</v>
      </c>
      <c r="AQ14" s="11">
        <v>106314799.46431322</v>
      </c>
      <c r="AR14" s="11">
        <f>878477+7460955+62768228</f>
        <v>71107660</v>
      </c>
      <c r="AS14" s="11">
        <f>2891513+20874811+181565048</f>
        <v>205331372</v>
      </c>
      <c r="AT14" s="11">
        <f>548864+1908544+34444997</f>
        <v>36902405</v>
      </c>
      <c r="AU14" s="11">
        <f>2398184+6727976+98893194</f>
        <v>108019354</v>
      </c>
      <c r="AV14" s="11">
        <v>410552</v>
      </c>
      <c r="AW14" s="11">
        <v>1257545</v>
      </c>
      <c r="AX14" s="11">
        <f>45915+247415+11182168</f>
        <v>11475498</v>
      </c>
      <c r="AY14" s="11">
        <f>100675+415569+32832540</f>
        <v>33348784</v>
      </c>
      <c r="AZ14" s="11"/>
      <c r="BA14" s="11"/>
      <c r="BB14" s="11">
        <v>4071862</v>
      </c>
      <c r="BC14" s="11">
        <v>11108807</v>
      </c>
      <c r="BD14" s="11">
        <f>46424+56885+6599304</f>
        <v>6702613</v>
      </c>
      <c r="BE14" s="11">
        <f>144659+303990+18860814</f>
        <v>19309463</v>
      </c>
      <c r="BF14" s="11">
        <v>9860792</v>
      </c>
      <c r="BG14" s="11">
        <v>22954080</v>
      </c>
      <c r="BH14" s="11">
        <v>4956666</v>
      </c>
      <c r="BI14" s="11">
        <v>15267101</v>
      </c>
      <c r="BJ14" s="11">
        <v>11731253</v>
      </c>
      <c r="BK14" s="11">
        <v>33011651</v>
      </c>
      <c r="BL14" s="11">
        <v>12458840</v>
      </c>
      <c r="BM14" s="11">
        <v>39806671</v>
      </c>
      <c r="BN14" s="11">
        <v>44506623</v>
      </c>
      <c r="BO14" s="11">
        <v>132527275</v>
      </c>
      <c r="BP14" s="11">
        <f>1972+93038+4510840</f>
        <v>4605850</v>
      </c>
      <c r="BQ14" s="11">
        <f>30890+347702+9894749</f>
        <v>10273341</v>
      </c>
      <c r="BR14" s="79">
        <f t="shared" si="0"/>
        <v>380367116.28954732</v>
      </c>
      <c r="BS14" s="79">
        <f t="shared" si="1"/>
        <v>1100156327.1243131</v>
      </c>
    </row>
    <row r="15" spans="1:71" s="8" customFormat="1" x14ac:dyDescent="0.25">
      <c r="A15" s="3" t="s">
        <v>44</v>
      </c>
      <c r="B15" s="11">
        <f>B9-B14</f>
        <v>-541786</v>
      </c>
      <c r="C15" s="11">
        <f t="shared" ref="C15:K15" si="34">C9-C14</f>
        <v>-1599050</v>
      </c>
      <c r="D15" s="11">
        <f t="shared" si="34"/>
        <v>-505760</v>
      </c>
      <c r="E15" s="11">
        <f t="shared" si="34"/>
        <v>-1864631</v>
      </c>
      <c r="F15" s="11">
        <f t="shared" si="34"/>
        <v>1421606</v>
      </c>
      <c r="G15" s="11">
        <f t="shared" si="34"/>
        <v>904140</v>
      </c>
      <c r="H15" s="11">
        <f t="shared" si="34"/>
        <v>-305341</v>
      </c>
      <c r="I15" s="11">
        <f t="shared" si="34"/>
        <v>-2782954</v>
      </c>
      <c r="J15" s="11">
        <f t="shared" si="34"/>
        <v>2038225</v>
      </c>
      <c r="K15" s="11">
        <f t="shared" si="34"/>
        <v>7743255</v>
      </c>
      <c r="L15" s="11">
        <f t="shared" ref="L15:BP15" si="35">L9-L14</f>
        <v>-360714</v>
      </c>
      <c r="M15" s="11">
        <f t="shared" si="35"/>
        <v>-982932</v>
      </c>
      <c r="N15" s="11">
        <f t="shared" si="35"/>
        <v>1176423</v>
      </c>
      <c r="O15" s="11">
        <f t="shared" si="35"/>
        <v>2364584</v>
      </c>
      <c r="P15" s="11">
        <f t="shared" si="35"/>
        <v>-180184</v>
      </c>
      <c r="Q15" s="11">
        <f t="shared" si="35"/>
        <v>-243239</v>
      </c>
      <c r="R15" s="11">
        <f t="shared" si="35"/>
        <v>-273429</v>
      </c>
      <c r="S15" s="11">
        <f t="shared" si="35"/>
        <v>-605822</v>
      </c>
      <c r="T15" s="11">
        <f t="shared" si="35"/>
        <v>460679.06999999983</v>
      </c>
      <c r="U15" s="11">
        <f t="shared" si="35"/>
        <v>3317576.6500000004</v>
      </c>
      <c r="V15" s="11">
        <f t="shared" si="35"/>
        <v>607887</v>
      </c>
      <c r="W15" s="11">
        <f t="shared" si="35"/>
        <v>1125416</v>
      </c>
      <c r="X15" s="11">
        <f t="shared" si="35"/>
        <v>-668076</v>
      </c>
      <c r="Y15" s="11">
        <f t="shared" ref="Y15" si="36">Y9-Y14</f>
        <v>-1885308</v>
      </c>
      <c r="Z15" s="11">
        <f t="shared" si="35"/>
        <v>1323542</v>
      </c>
      <c r="AA15" s="11">
        <f t="shared" ref="AA15" si="37">AA9-AA14</f>
        <v>3275219</v>
      </c>
      <c r="AB15" s="11">
        <f t="shared" si="35"/>
        <v>3207014</v>
      </c>
      <c r="AC15" s="11">
        <f t="shared" ref="AC15" si="38">AC9-AC14</f>
        <v>10682725</v>
      </c>
      <c r="AD15" s="11">
        <f t="shared" si="35"/>
        <v>1113768</v>
      </c>
      <c r="AE15" s="11">
        <f t="shared" ref="AE15" si="39">AE9-AE14</f>
        <v>1145766</v>
      </c>
      <c r="AF15" s="11">
        <f t="shared" si="35"/>
        <v>-105183</v>
      </c>
      <c r="AG15" s="11">
        <f t="shared" ref="AG15" si="40">AG9-AG14</f>
        <v>-279471</v>
      </c>
      <c r="AH15" s="11">
        <f t="shared" si="35"/>
        <v>-383462</v>
      </c>
      <c r="AI15" s="11">
        <f t="shared" ref="AI15" si="41">AI9-AI14</f>
        <v>-1450006</v>
      </c>
      <c r="AJ15" s="11">
        <f t="shared" si="35"/>
        <v>35519</v>
      </c>
      <c r="AK15" s="11">
        <f t="shared" si="35"/>
        <v>82973</v>
      </c>
      <c r="AL15" s="11">
        <f t="shared" si="35"/>
        <v>-402386</v>
      </c>
      <c r="AM15" s="11">
        <f t="shared" si="35"/>
        <v>-986369</v>
      </c>
      <c r="AN15" s="11">
        <f t="shared" si="35"/>
        <v>416675</v>
      </c>
      <c r="AO15" s="11">
        <f t="shared" ref="AO15" si="42">AO9-AO14</f>
        <v>190872</v>
      </c>
      <c r="AP15" s="11">
        <f t="shared" si="35"/>
        <v>-12257561.589273203</v>
      </c>
      <c r="AQ15" s="11">
        <f t="shared" ref="AQ15" si="43">AQ9-AQ14</f>
        <v>-21211429.846222162</v>
      </c>
      <c r="AR15" s="11">
        <f t="shared" si="35"/>
        <v>5470685</v>
      </c>
      <c r="AS15" s="11">
        <f t="shared" ref="AS15" si="44">AS9-AS14</f>
        <v>5536594</v>
      </c>
      <c r="AT15" s="11">
        <f t="shared" si="35"/>
        <v>-271666</v>
      </c>
      <c r="AU15" s="11">
        <f t="shared" ref="AU15" si="45">AU9-AU14</f>
        <v>-6303627</v>
      </c>
      <c r="AV15" s="11">
        <f t="shared" si="35"/>
        <v>31695</v>
      </c>
      <c r="AW15" s="11">
        <f t="shared" ref="AW15" si="46">AW9-AW14</f>
        <v>4295</v>
      </c>
      <c r="AX15" s="11">
        <f t="shared" si="35"/>
        <v>1107108</v>
      </c>
      <c r="AY15" s="11">
        <f t="shared" si="35"/>
        <v>2191900</v>
      </c>
      <c r="AZ15" s="11">
        <f t="shared" si="35"/>
        <v>0</v>
      </c>
      <c r="BA15" s="11">
        <f t="shared" si="35"/>
        <v>0</v>
      </c>
      <c r="BB15" s="11">
        <f t="shared" si="35"/>
        <v>-8854</v>
      </c>
      <c r="BC15" s="11">
        <f t="shared" ref="BC15" si="47">BC9-BC14</f>
        <v>216045</v>
      </c>
      <c r="BD15" s="11">
        <f t="shared" si="35"/>
        <v>80041</v>
      </c>
      <c r="BE15" s="11">
        <f t="shared" si="35"/>
        <v>41720</v>
      </c>
      <c r="BF15" s="11">
        <f t="shared" si="35"/>
        <v>886220</v>
      </c>
      <c r="BG15" s="11">
        <f t="shared" ref="BG15" si="48">BG9-BG14</f>
        <v>3085853</v>
      </c>
      <c r="BH15" s="11">
        <f t="shared" si="35"/>
        <v>2421438</v>
      </c>
      <c r="BI15" s="11">
        <f t="shared" si="35"/>
        <v>6259536</v>
      </c>
      <c r="BJ15" s="11">
        <f t="shared" ref="BJ15:BK15" si="49">BJ9-BJ14</f>
        <v>-423079</v>
      </c>
      <c r="BK15" s="11">
        <f t="shared" si="49"/>
        <v>-2345035</v>
      </c>
      <c r="BL15" s="11">
        <f t="shared" si="35"/>
        <v>1611885</v>
      </c>
      <c r="BM15" s="11">
        <f t="shared" ref="BM15:BO15" si="50">BM9-BM14</f>
        <v>2992247</v>
      </c>
      <c r="BN15" s="11">
        <f t="shared" si="50"/>
        <v>-2386840</v>
      </c>
      <c r="BO15" s="11">
        <f t="shared" si="50"/>
        <v>-14410174</v>
      </c>
      <c r="BP15" s="11">
        <f t="shared" si="35"/>
        <v>322414</v>
      </c>
      <c r="BQ15" s="11">
        <f t="shared" ref="BQ15" si="51">BQ9-BQ14</f>
        <v>757665</v>
      </c>
      <c r="BR15" s="79">
        <f t="shared" si="0"/>
        <v>4658502.4807267971</v>
      </c>
      <c r="BS15" s="79">
        <f t="shared" si="1"/>
        <v>-5031666.1962221637</v>
      </c>
    </row>
  </sheetData>
  <mergeCells count="35">
    <mergeCell ref="J3:K3"/>
    <mergeCell ref="H3:I3"/>
    <mergeCell ref="F3:G3"/>
    <mergeCell ref="D3:E3"/>
    <mergeCell ref="B3:C3"/>
    <mergeCell ref="L3:M3"/>
    <mergeCell ref="AH3:AI3"/>
    <mergeCell ref="AF3:AG3"/>
    <mergeCell ref="AD3:AE3"/>
    <mergeCell ref="AB3:AC3"/>
    <mergeCell ref="Z3:AA3"/>
    <mergeCell ref="X3:Y3"/>
    <mergeCell ref="V3:W3"/>
    <mergeCell ref="T3:U3"/>
    <mergeCell ref="R3:S3"/>
    <mergeCell ref="P3:Q3"/>
    <mergeCell ref="N3:O3"/>
    <mergeCell ref="AJ3:AK3"/>
    <mergeCell ref="BF3:BG3"/>
    <mergeCell ref="BD3:BE3"/>
    <mergeCell ref="BB3:BC3"/>
    <mergeCell ref="AZ3:BA3"/>
    <mergeCell ref="AX3:AY3"/>
    <mergeCell ref="AV3:AW3"/>
    <mergeCell ref="AT3:AU3"/>
    <mergeCell ref="AR3:AS3"/>
    <mergeCell ref="AP3:AQ3"/>
    <mergeCell ref="AN3:AO3"/>
    <mergeCell ref="AL3:AM3"/>
    <mergeCell ref="BH3:BI3"/>
    <mergeCell ref="BR3:BS3"/>
    <mergeCell ref="BP3:BQ3"/>
    <mergeCell ref="BN3:BO3"/>
    <mergeCell ref="BL3:BM3"/>
    <mergeCell ref="BJ3:BK3"/>
  </mergeCells>
  <pageMargins left="0.7" right="0.7" top="0.75" bottom="0.75" header="0.3" footer="0.3"/>
  <pageSetup paperSize="9" orientation="portrait" r:id="rId1"/>
  <ignoredErrors>
    <ignoredError sqref="BR13 BR7 BR15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8.85546875" customWidth="1"/>
    <col min="2" max="35" width="16" customWidth="1"/>
    <col min="36" max="36" width="16" style="4" customWidth="1"/>
  </cols>
  <sheetData>
    <row r="1" spans="1:36" ht="18.75" x14ac:dyDescent="0.3">
      <c r="A1" s="13" t="s">
        <v>302</v>
      </c>
    </row>
    <row r="2" spans="1:36" x14ac:dyDescent="0.25">
      <c r="A2" s="12" t="s">
        <v>47</v>
      </c>
    </row>
    <row r="3" spans="1:36" x14ac:dyDescent="0.25">
      <c r="A3" s="1" t="s">
        <v>0</v>
      </c>
      <c r="B3" s="92" t="s">
        <v>1</v>
      </c>
      <c r="C3" s="92" t="s">
        <v>2</v>
      </c>
      <c r="D3" s="92" t="s">
        <v>3</v>
      </c>
      <c r="E3" s="92" t="s">
        <v>4</v>
      </c>
      <c r="F3" s="92" t="s">
        <v>5</v>
      </c>
      <c r="G3" s="92" t="s">
        <v>6</v>
      </c>
      <c r="H3" s="92" t="s">
        <v>7</v>
      </c>
      <c r="I3" s="92" t="s">
        <v>8</v>
      </c>
      <c r="J3" s="92" t="s">
        <v>9</v>
      </c>
      <c r="K3" s="92" t="s">
        <v>10</v>
      </c>
      <c r="L3" s="92" t="s">
        <v>11</v>
      </c>
      <c r="M3" s="92" t="s">
        <v>12</v>
      </c>
      <c r="N3" s="92" t="s">
        <v>13</v>
      </c>
      <c r="O3" s="92" t="s">
        <v>14</v>
      </c>
      <c r="P3" s="92" t="s">
        <v>15</v>
      </c>
      <c r="Q3" s="92" t="s">
        <v>16</v>
      </c>
      <c r="R3" s="92" t="s">
        <v>17</v>
      </c>
      <c r="S3" s="92" t="s">
        <v>18</v>
      </c>
      <c r="T3" s="92" t="s">
        <v>296</v>
      </c>
      <c r="U3" s="92" t="s">
        <v>19</v>
      </c>
      <c r="V3" s="92" t="s">
        <v>20</v>
      </c>
      <c r="W3" s="92" t="s">
        <v>21</v>
      </c>
      <c r="X3" s="92" t="s">
        <v>22</v>
      </c>
      <c r="Y3" s="92" t="s">
        <v>23</v>
      </c>
      <c r="Z3" s="92" t="s">
        <v>24</v>
      </c>
      <c r="AA3" s="92" t="s">
        <v>25</v>
      </c>
      <c r="AB3" s="92" t="s">
        <v>26</v>
      </c>
      <c r="AC3" s="92" t="s">
        <v>27</v>
      </c>
      <c r="AD3" s="92" t="s">
        <v>28</v>
      </c>
      <c r="AE3" s="92" t="s">
        <v>29</v>
      </c>
      <c r="AF3" s="92" t="s">
        <v>30</v>
      </c>
      <c r="AG3" s="92" t="s">
        <v>31</v>
      </c>
      <c r="AH3" s="91" t="s">
        <v>32</v>
      </c>
      <c r="AI3" s="92" t="s">
        <v>33</v>
      </c>
      <c r="AJ3" s="90" t="s">
        <v>34</v>
      </c>
    </row>
    <row r="4" spans="1:36" x14ac:dyDescent="0.25">
      <c r="A4" s="14" t="s">
        <v>56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86"/>
    </row>
    <row r="5" spans="1:36" x14ac:dyDescent="0.25">
      <c r="A5" s="15" t="s">
        <v>57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87">
        <f t="shared" ref="AJ5:AJ32" si="0">SUM(B5:AI5)</f>
        <v>0</v>
      </c>
    </row>
    <row r="6" spans="1:36" x14ac:dyDescent="0.25">
      <c r="A6" s="15" t="s">
        <v>58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87">
        <f t="shared" si="0"/>
        <v>0</v>
      </c>
    </row>
    <row r="7" spans="1:36" x14ac:dyDescent="0.25">
      <c r="A7" s="15" t="s">
        <v>59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10"/>
      <c r="U7" s="10"/>
      <c r="V7" s="10">
        <v>234603</v>
      </c>
      <c r="W7" s="10">
        <v>2464600</v>
      </c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>
        <v>1018894</v>
      </c>
      <c r="AI7" s="36"/>
      <c r="AJ7" s="87">
        <f t="shared" si="0"/>
        <v>3718097</v>
      </c>
    </row>
    <row r="8" spans="1:36" x14ac:dyDescent="0.25">
      <c r="A8" s="15" t="s">
        <v>60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10"/>
      <c r="U8" s="10"/>
      <c r="V8" s="10"/>
      <c r="W8" s="10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87">
        <f t="shared" si="0"/>
        <v>0</v>
      </c>
    </row>
    <row r="9" spans="1:36" x14ac:dyDescent="0.25">
      <c r="A9" s="15" t="s">
        <v>61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10"/>
      <c r="U9" s="10"/>
      <c r="V9" s="10"/>
      <c r="W9" s="10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87">
        <f t="shared" si="0"/>
        <v>0</v>
      </c>
    </row>
    <row r="10" spans="1:36" x14ac:dyDescent="0.25">
      <c r="A10" s="15" t="s">
        <v>62</v>
      </c>
      <c r="B10" s="36"/>
      <c r="C10" s="36"/>
      <c r="D10" s="36">
        <v>140031</v>
      </c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10"/>
      <c r="U10" s="10"/>
      <c r="V10" s="10"/>
      <c r="W10" s="10">
        <v>615157</v>
      </c>
      <c r="X10" s="36">
        <f>1104023+314674</f>
        <v>1418697</v>
      </c>
      <c r="Y10" s="36"/>
      <c r="Z10" s="36"/>
      <c r="AA10" s="36"/>
      <c r="AB10" s="36"/>
      <c r="AC10" s="36"/>
      <c r="AD10" s="36"/>
      <c r="AE10" s="36"/>
      <c r="AF10" s="36"/>
      <c r="AG10" s="36"/>
      <c r="AH10" s="36">
        <v>576225</v>
      </c>
      <c r="AI10" s="36"/>
      <c r="AJ10" s="87">
        <f t="shared" si="0"/>
        <v>2750110</v>
      </c>
    </row>
    <row r="11" spans="1:36" x14ac:dyDescent="0.25">
      <c r="A11" s="15" t="s">
        <v>63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>
        <v>50065</v>
      </c>
      <c r="T11" s="10"/>
      <c r="U11" s="10"/>
      <c r="V11" s="10">
        <v>153718</v>
      </c>
      <c r="W11" s="10"/>
      <c r="X11" s="36">
        <v>64299</v>
      </c>
      <c r="Y11" s="36"/>
      <c r="Z11" s="36"/>
      <c r="AA11" s="36"/>
      <c r="AB11" s="36"/>
      <c r="AC11" s="36"/>
      <c r="AD11" s="36"/>
      <c r="AE11" s="36"/>
      <c r="AF11" s="36"/>
      <c r="AG11" s="36"/>
      <c r="AH11" s="36">
        <v>120886</v>
      </c>
      <c r="AI11" s="36"/>
      <c r="AJ11" s="87">
        <f t="shared" si="0"/>
        <v>388968</v>
      </c>
    </row>
    <row r="12" spans="1:36" s="4" customFormat="1" x14ac:dyDescent="0.25">
      <c r="A12" s="16" t="s">
        <v>55</v>
      </c>
      <c r="B12" s="37">
        <f>SUM(B5:B11)</f>
        <v>0</v>
      </c>
      <c r="C12" s="37">
        <f t="shared" ref="C12:AI12" si="1">SUM(C5:C11)</f>
        <v>0</v>
      </c>
      <c r="D12" s="37">
        <f t="shared" si="1"/>
        <v>140031</v>
      </c>
      <c r="E12" s="37">
        <f t="shared" si="1"/>
        <v>0</v>
      </c>
      <c r="F12" s="37">
        <f t="shared" si="1"/>
        <v>0</v>
      </c>
      <c r="G12" s="37">
        <f t="shared" si="1"/>
        <v>0</v>
      </c>
      <c r="H12" s="37">
        <f t="shared" si="1"/>
        <v>0</v>
      </c>
      <c r="I12" s="37">
        <f t="shared" si="1"/>
        <v>0</v>
      </c>
      <c r="J12" s="37">
        <f t="shared" si="1"/>
        <v>0</v>
      </c>
      <c r="K12" s="37">
        <f t="shared" si="1"/>
        <v>0</v>
      </c>
      <c r="L12" s="37">
        <f t="shared" si="1"/>
        <v>0</v>
      </c>
      <c r="M12" s="37">
        <f t="shared" si="1"/>
        <v>0</v>
      </c>
      <c r="N12" s="37">
        <f t="shared" si="1"/>
        <v>0</v>
      </c>
      <c r="O12" s="37">
        <f t="shared" si="1"/>
        <v>0</v>
      </c>
      <c r="P12" s="37">
        <f t="shared" si="1"/>
        <v>0</v>
      </c>
      <c r="Q12" s="37">
        <f t="shared" si="1"/>
        <v>0</v>
      </c>
      <c r="R12" s="37">
        <f t="shared" si="1"/>
        <v>0</v>
      </c>
      <c r="S12" s="37">
        <f t="shared" si="1"/>
        <v>50065</v>
      </c>
      <c r="T12" s="37">
        <f t="shared" si="1"/>
        <v>0</v>
      </c>
      <c r="U12" s="37">
        <f t="shared" si="1"/>
        <v>0</v>
      </c>
      <c r="V12" s="37">
        <f t="shared" si="1"/>
        <v>388321</v>
      </c>
      <c r="W12" s="37">
        <f t="shared" si="1"/>
        <v>3079757</v>
      </c>
      <c r="X12" s="37">
        <f t="shared" si="1"/>
        <v>1482996</v>
      </c>
      <c r="Y12" s="37">
        <f t="shared" si="1"/>
        <v>0</v>
      </c>
      <c r="Z12" s="37">
        <f t="shared" si="1"/>
        <v>0</v>
      </c>
      <c r="AA12" s="37">
        <f t="shared" si="1"/>
        <v>0</v>
      </c>
      <c r="AB12" s="37">
        <f t="shared" si="1"/>
        <v>0</v>
      </c>
      <c r="AC12" s="37">
        <f t="shared" si="1"/>
        <v>0</v>
      </c>
      <c r="AD12" s="37">
        <f t="shared" si="1"/>
        <v>0</v>
      </c>
      <c r="AE12" s="37">
        <f t="shared" si="1"/>
        <v>0</v>
      </c>
      <c r="AF12" s="37">
        <f t="shared" si="1"/>
        <v>0</v>
      </c>
      <c r="AG12" s="37">
        <f t="shared" si="1"/>
        <v>0</v>
      </c>
      <c r="AH12" s="37">
        <f t="shared" si="1"/>
        <v>1716005</v>
      </c>
      <c r="AI12" s="37">
        <f t="shared" si="1"/>
        <v>0</v>
      </c>
      <c r="AJ12" s="86">
        <f t="shared" si="0"/>
        <v>6857175</v>
      </c>
    </row>
    <row r="13" spans="1:36" x14ac:dyDescent="0.25">
      <c r="A13" s="14" t="s">
        <v>64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86"/>
    </row>
    <row r="14" spans="1:36" x14ac:dyDescent="0.25">
      <c r="A14" s="15" t="s">
        <v>65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10"/>
      <c r="U14" s="10"/>
      <c r="V14" s="10">
        <v>89488</v>
      </c>
      <c r="W14" s="10">
        <v>357671</v>
      </c>
      <c r="X14" s="36">
        <v>229420</v>
      </c>
      <c r="Y14" s="36"/>
      <c r="Z14" s="36"/>
      <c r="AA14" s="36"/>
      <c r="AB14" s="36"/>
      <c r="AC14" s="36"/>
      <c r="AD14" s="36"/>
      <c r="AE14" s="36"/>
      <c r="AF14" s="36"/>
      <c r="AG14" s="36"/>
      <c r="AH14" s="36">
        <v>576225</v>
      </c>
      <c r="AI14" s="36"/>
      <c r="AJ14" s="87">
        <f t="shared" si="0"/>
        <v>1252804</v>
      </c>
    </row>
    <row r="15" spans="1:36" x14ac:dyDescent="0.25">
      <c r="A15" s="15" t="s">
        <v>66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10"/>
      <c r="U15" s="10"/>
      <c r="V15" s="10"/>
      <c r="W15" s="10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87">
        <f t="shared" si="0"/>
        <v>0</v>
      </c>
    </row>
    <row r="16" spans="1:36" x14ac:dyDescent="0.25">
      <c r="A16" s="15" t="s">
        <v>67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10"/>
      <c r="U16" s="10"/>
      <c r="V16" s="10"/>
      <c r="W16" s="10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87">
        <f t="shared" si="0"/>
        <v>0</v>
      </c>
    </row>
    <row r="17" spans="1:36" x14ac:dyDescent="0.25">
      <c r="A17" s="15" t="s">
        <v>68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10"/>
      <c r="U17" s="10"/>
      <c r="V17" s="10">
        <v>298194</v>
      </c>
      <c r="W17" s="10"/>
      <c r="X17" s="36">
        <v>149553</v>
      </c>
      <c r="Y17" s="36"/>
      <c r="Z17" s="36"/>
      <c r="AA17" s="36"/>
      <c r="AB17" s="36"/>
      <c r="AC17" s="36"/>
      <c r="AD17" s="36"/>
      <c r="AE17" s="36"/>
      <c r="AF17" s="36"/>
      <c r="AG17" s="36"/>
      <c r="AH17" s="36">
        <v>175743</v>
      </c>
      <c r="AI17" s="36"/>
      <c r="AJ17" s="87">
        <f t="shared" si="0"/>
        <v>623490</v>
      </c>
    </row>
    <row r="18" spans="1:36" x14ac:dyDescent="0.25">
      <c r="A18" s="15" t="s">
        <v>69</v>
      </c>
      <c r="B18" s="36"/>
      <c r="C18" s="36"/>
      <c r="D18" s="36">
        <v>140031</v>
      </c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>
        <v>50065</v>
      </c>
      <c r="T18" s="10"/>
      <c r="U18" s="10"/>
      <c r="V18" s="10">
        <v>639</v>
      </c>
      <c r="W18" s="10">
        <v>2722086</v>
      </c>
      <c r="X18" s="36">
        <v>1104023</v>
      </c>
      <c r="Y18" s="36"/>
      <c r="Z18" s="36"/>
      <c r="AA18" s="36"/>
      <c r="AB18" s="36"/>
      <c r="AC18" s="36"/>
      <c r="AD18" s="36"/>
      <c r="AE18" s="36"/>
      <c r="AF18" s="36"/>
      <c r="AG18" s="36"/>
      <c r="AH18" s="36">
        <v>964037</v>
      </c>
      <c r="AI18" s="36"/>
      <c r="AJ18" s="87">
        <f t="shared" si="0"/>
        <v>4980881</v>
      </c>
    </row>
    <row r="19" spans="1:36" s="4" customFormat="1" x14ac:dyDescent="0.25">
      <c r="A19" s="16" t="s">
        <v>55</v>
      </c>
      <c r="B19" s="37">
        <f>SUM(B14:B18)</f>
        <v>0</v>
      </c>
      <c r="C19" s="37">
        <f t="shared" ref="C19:AI19" si="2">SUM(C14:C18)</f>
        <v>0</v>
      </c>
      <c r="D19" s="37">
        <f t="shared" si="2"/>
        <v>140031</v>
      </c>
      <c r="E19" s="37">
        <f t="shared" si="2"/>
        <v>0</v>
      </c>
      <c r="F19" s="37">
        <f t="shared" si="2"/>
        <v>0</v>
      </c>
      <c r="G19" s="37">
        <f t="shared" si="2"/>
        <v>0</v>
      </c>
      <c r="H19" s="37">
        <f t="shared" si="2"/>
        <v>0</v>
      </c>
      <c r="I19" s="37">
        <f t="shared" si="2"/>
        <v>0</v>
      </c>
      <c r="J19" s="37">
        <f t="shared" si="2"/>
        <v>0</v>
      </c>
      <c r="K19" s="37">
        <f t="shared" si="2"/>
        <v>0</v>
      </c>
      <c r="L19" s="37">
        <f t="shared" si="2"/>
        <v>0</v>
      </c>
      <c r="M19" s="37">
        <f t="shared" si="2"/>
        <v>0</v>
      </c>
      <c r="N19" s="37">
        <f t="shared" si="2"/>
        <v>0</v>
      </c>
      <c r="O19" s="37">
        <f t="shared" si="2"/>
        <v>0</v>
      </c>
      <c r="P19" s="37">
        <f t="shared" si="2"/>
        <v>0</v>
      </c>
      <c r="Q19" s="37">
        <f t="shared" si="2"/>
        <v>0</v>
      </c>
      <c r="R19" s="37">
        <f t="shared" si="2"/>
        <v>0</v>
      </c>
      <c r="S19" s="37">
        <f t="shared" si="2"/>
        <v>50065</v>
      </c>
      <c r="T19" s="37">
        <f t="shared" si="2"/>
        <v>0</v>
      </c>
      <c r="U19" s="37">
        <f t="shared" si="2"/>
        <v>0</v>
      </c>
      <c r="V19" s="37">
        <f t="shared" si="2"/>
        <v>388321</v>
      </c>
      <c r="W19" s="37">
        <f t="shared" si="2"/>
        <v>3079757</v>
      </c>
      <c r="X19" s="37">
        <f t="shared" si="2"/>
        <v>1482996</v>
      </c>
      <c r="Y19" s="37">
        <f t="shared" si="2"/>
        <v>0</v>
      </c>
      <c r="Z19" s="37">
        <f t="shared" si="2"/>
        <v>0</v>
      </c>
      <c r="AA19" s="37">
        <f t="shared" si="2"/>
        <v>0</v>
      </c>
      <c r="AB19" s="37">
        <f t="shared" si="2"/>
        <v>0</v>
      </c>
      <c r="AC19" s="37">
        <f t="shared" si="2"/>
        <v>0</v>
      </c>
      <c r="AD19" s="37">
        <f t="shared" si="2"/>
        <v>0</v>
      </c>
      <c r="AE19" s="37">
        <f t="shared" si="2"/>
        <v>0</v>
      </c>
      <c r="AF19" s="37">
        <f t="shared" si="2"/>
        <v>0</v>
      </c>
      <c r="AG19" s="37">
        <f t="shared" si="2"/>
        <v>0</v>
      </c>
      <c r="AH19" s="37">
        <f t="shared" si="2"/>
        <v>1716005</v>
      </c>
      <c r="AI19" s="37">
        <f t="shared" si="2"/>
        <v>0</v>
      </c>
      <c r="AJ19" s="86">
        <f t="shared" si="0"/>
        <v>6857175</v>
      </c>
    </row>
    <row r="20" spans="1:36" x14ac:dyDescent="0.25">
      <c r="A20" s="14" t="s">
        <v>70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86"/>
    </row>
    <row r="21" spans="1:36" x14ac:dyDescent="0.25">
      <c r="A21" s="15" t="s">
        <v>71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87">
        <f t="shared" si="0"/>
        <v>0</v>
      </c>
    </row>
    <row r="22" spans="1:36" x14ac:dyDescent="0.25">
      <c r="A22" s="15" t="s">
        <v>59</v>
      </c>
      <c r="B22" s="36"/>
      <c r="C22" s="36"/>
      <c r="D22" s="36">
        <v>140031</v>
      </c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>
        <v>50065</v>
      </c>
      <c r="T22" s="10"/>
      <c r="U22" s="10"/>
      <c r="V22" s="10">
        <v>97534</v>
      </c>
      <c r="W22" s="10">
        <v>3079757</v>
      </c>
      <c r="X22" s="36">
        <v>1340436</v>
      </c>
      <c r="Y22" s="36"/>
      <c r="Z22" s="36"/>
      <c r="AA22" s="36"/>
      <c r="AB22" s="36"/>
      <c r="AC22" s="36"/>
      <c r="AD22" s="36"/>
      <c r="AE22" s="36"/>
      <c r="AF22" s="36"/>
      <c r="AG22" s="36"/>
      <c r="AH22" s="36">
        <v>1536629</v>
      </c>
      <c r="AI22" s="36"/>
      <c r="AJ22" s="87">
        <f t="shared" si="0"/>
        <v>6244452</v>
      </c>
    </row>
    <row r="23" spans="1:36" x14ac:dyDescent="0.25">
      <c r="A23" s="15" t="s">
        <v>60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87">
        <f t="shared" si="0"/>
        <v>0</v>
      </c>
    </row>
    <row r="24" spans="1:36" x14ac:dyDescent="0.25">
      <c r="A24" s="15" t="s">
        <v>72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87">
        <f t="shared" si="0"/>
        <v>0</v>
      </c>
    </row>
    <row r="25" spans="1:36" x14ac:dyDescent="0.25">
      <c r="A25" s="15" t="s">
        <v>59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>
        <v>290787</v>
      </c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>
        <v>179376</v>
      </c>
      <c r="AI25" s="36"/>
      <c r="AJ25" s="87">
        <f t="shared" si="0"/>
        <v>470163</v>
      </c>
    </row>
    <row r="26" spans="1:36" x14ac:dyDescent="0.25">
      <c r="A26" s="15" t="s">
        <v>60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87">
        <f t="shared" si="0"/>
        <v>0</v>
      </c>
    </row>
    <row r="27" spans="1:36" x14ac:dyDescent="0.25">
      <c r="A27" s="15" t="s">
        <v>73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>
        <v>142560</v>
      </c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87">
        <f t="shared" si="0"/>
        <v>142560</v>
      </c>
    </row>
    <row r="28" spans="1:36" s="4" customFormat="1" x14ac:dyDescent="0.25">
      <c r="A28" s="16" t="s">
        <v>55</v>
      </c>
      <c r="B28" s="37">
        <f>SUM(B21:B27)</f>
        <v>0</v>
      </c>
      <c r="C28" s="37">
        <f t="shared" ref="C28:AI28" si="3">SUM(C21:C27)</f>
        <v>0</v>
      </c>
      <c r="D28" s="37">
        <f t="shared" si="3"/>
        <v>140031</v>
      </c>
      <c r="E28" s="37">
        <f t="shared" si="3"/>
        <v>0</v>
      </c>
      <c r="F28" s="37">
        <f t="shared" si="3"/>
        <v>0</v>
      </c>
      <c r="G28" s="37">
        <f t="shared" si="3"/>
        <v>0</v>
      </c>
      <c r="H28" s="37">
        <f t="shared" si="3"/>
        <v>0</v>
      </c>
      <c r="I28" s="37">
        <f t="shared" si="3"/>
        <v>0</v>
      </c>
      <c r="J28" s="37">
        <f t="shared" si="3"/>
        <v>0</v>
      </c>
      <c r="K28" s="37">
        <f t="shared" si="3"/>
        <v>0</v>
      </c>
      <c r="L28" s="37">
        <f t="shared" si="3"/>
        <v>0</v>
      </c>
      <c r="M28" s="37">
        <f t="shared" si="3"/>
        <v>0</v>
      </c>
      <c r="N28" s="37">
        <f t="shared" si="3"/>
        <v>0</v>
      </c>
      <c r="O28" s="37">
        <f t="shared" si="3"/>
        <v>0</v>
      </c>
      <c r="P28" s="37">
        <f t="shared" si="3"/>
        <v>0</v>
      </c>
      <c r="Q28" s="37">
        <f t="shared" si="3"/>
        <v>0</v>
      </c>
      <c r="R28" s="37">
        <f t="shared" si="3"/>
        <v>0</v>
      </c>
      <c r="S28" s="37">
        <f t="shared" si="3"/>
        <v>50065</v>
      </c>
      <c r="T28" s="37">
        <f t="shared" si="3"/>
        <v>0</v>
      </c>
      <c r="U28" s="37">
        <f t="shared" si="3"/>
        <v>0</v>
      </c>
      <c r="V28" s="37">
        <f t="shared" si="3"/>
        <v>388321</v>
      </c>
      <c r="W28" s="37">
        <f t="shared" si="3"/>
        <v>3079757</v>
      </c>
      <c r="X28" s="37">
        <f t="shared" si="3"/>
        <v>1482996</v>
      </c>
      <c r="Y28" s="37">
        <f t="shared" si="3"/>
        <v>0</v>
      </c>
      <c r="Z28" s="37">
        <f t="shared" si="3"/>
        <v>0</v>
      </c>
      <c r="AA28" s="37">
        <f t="shared" si="3"/>
        <v>0</v>
      </c>
      <c r="AB28" s="37">
        <f t="shared" si="3"/>
        <v>0</v>
      </c>
      <c r="AC28" s="37">
        <f t="shared" si="3"/>
        <v>0</v>
      </c>
      <c r="AD28" s="37">
        <f t="shared" si="3"/>
        <v>0</v>
      </c>
      <c r="AE28" s="37">
        <f t="shared" si="3"/>
        <v>0</v>
      </c>
      <c r="AF28" s="37">
        <f t="shared" si="3"/>
        <v>0</v>
      </c>
      <c r="AG28" s="37">
        <f t="shared" si="3"/>
        <v>0</v>
      </c>
      <c r="AH28" s="37">
        <f t="shared" si="3"/>
        <v>1716005</v>
      </c>
      <c r="AI28" s="37">
        <f t="shared" si="3"/>
        <v>0</v>
      </c>
      <c r="AJ28" s="86">
        <f t="shared" si="0"/>
        <v>6857175</v>
      </c>
    </row>
    <row r="29" spans="1:36" x14ac:dyDescent="0.25">
      <c r="A29" s="14" t="s">
        <v>74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86"/>
    </row>
    <row r="30" spans="1:36" x14ac:dyDescent="0.25">
      <c r="A30" s="15" t="s">
        <v>75</v>
      </c>
      <c r="B30" s="36"/>
      <c r="C30" s="36"/>
      <c r="D30" s="36">
        <v>16474</v>
      </c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10"/>
      <c r="U30" s="10"/>
      <c r="V30" s="10">
        <v>300</v>
      </c>
      <c r="W30" s="10">
        <v>72489</v>
      </c>
      <c r="X30" s="36">
        <v>48920</v>
      </c>
      <c r="Y30" s="36"/>
      <c r="Z30" s="36"/>
      <c r="AA30" s="36"/>
      <c r="AB30" s="36"/>
      <c r="AC30" s="36"/>
      <c r="AD30" s="36"/>
      <c r="AE30" s="36"/>
      <c r="AF30" s="36"/>
      <c r="AG30" s="36"/>
      <c r="AH30" s="36">
        <v>99645</v>
      </c>
      <c r="AI30" s="36"/>
      <c r="AJ30" s="87">
        <f t="shared" si="0"/>
        <v>237828</v>
      </c>
    </row>
    <row r="31" spans="1:36" x14ac:dyDescent="0.25">
      <c r="A31" s="15" t="s">
        <v>76</v>
      </c>
      <c r="B31" s="36"/>
      <c r="C31" s="36"/>
      <c r="D31" s="36">
        <v>123557</v>
      </c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>
        <v>50065</v>
      </c>
      <c r="T31" s="10"/>
      <c r="U31" s="10"/>
      <c r="V31" s="10">
        <v>388021</v>
      </c>
      <c r="W31" s="10">
        <v>3007268</v>
      </c>
      <c r="X31" s="36">
        <v>1434076</v>
      </c>
      <c r="Y31" s="36"/>
      <c r="Z31" s="36"/>
      <c r="AA31" s="36"/>
      <c r="AB31" s="36"/>
      <c r="AC31" s="36"/>
      <c r="AD31" s="36"/>
      <c r="AE31" s="36"/>
      <c r="AF31" s="36"/>
      <c r="AG31" s="36"/>
      <c r="AH31" s="36">
        <v>1616360</v>
      </c>
      <c r="AI31" s="36"/>
      <c r="AJ31" s="87">
        <f t="shared" si="0"/>
        <v>6619347</v>
      </c>
    </row>
    <row r="32" spans="1:36" s="4" customFormat="1" x14ac:dyDescent="0.25">
      <c r="A32" s="16" t="s">
        <v>55</v>
      </c>
      <c r="B32" s="37">
        <f>SUM(B30:B31)</f>
        <v>0</v>
      </c>
      <c r="C32" s="37">
        <f t="shared" ref="C32:AI32" si="4">SUM(C30:C31)</f>
        <v>0</v>
      </c>
      <c r="D32" s="37">
        <f t="shared" si="4"/>
        <v>140031</v>
      </c>
      <c r="E32" s="37">
        <f t="shared" si="4"/>
        <v>0</v>
      </c>
      <c r="F32" s="37">
        <f t="shared" si="4"/>
        <v>0</v>
      </c>
      <c r="G32" s="37">
        <f t="shared" si="4"/>
        <v>0</v>
      </c>
      <c r="H32" s="37">
        <f t="shared" si="4"/>
        <v>0</v>
      </c>
      <c r="I32" s="37">
        <f t="shared" si="4"/>
        <v>0</v>
      </c>
      <c r="J32" s="37">
        <f t="shared" si="4"/>
        <v>0</v>
      </c>
      <c r="K32" s="37">
        <f t="shared" si="4"/>
        <v>0</v>
      </c>
      <c r="L32" s="37">
        <f t="shared" si="4"/>
        <v>0</v>
      </c>
      <c r="M32" s="37">
        <f t="shared" si="4"/>
        <v>0</v>
      </c>
      <c r="N32" s="37">
        <f t="shared" si="4"/>
        <v>0</v>
      </c>
      <c r="O32" s="37">
        <f t="shared" si="4"/>
        <v>0</v>
      </c>
      <c r="P32" s="37">
        <f t="shared" si="4"/>
        <v>0</v>
      </c>
      <c r="Q32" s="37">
        <f t="shared" si="4"/>
        <v>0</v>
      </c>
      <c r="R32" s="37">
        <f t="shared" si="4"/>
        <v>0</v>
      </c>
      <c r="S32" s="37">
        <f t="shared" si="4"/>
        <v>50065</v>
      </c>
      <c r="T32" s="37">
        <f t="shared" si="4"/>
        <v>0</v>
      </c>
      <c r="U32" s="37">
        <f t="shared" si="4"/>
        <v>0</v>
      </c>
      <c r="V32" s="37">
        <f t="shared" si="4"/>
        <v>388321</v>
      </c>
      <c r="W32" s="37">
        <f t="shared" si="4"/>
        <v>3079757</v>
      </c>
      <c r="X32" s="37">
        <f t="shared" si="4"/>
        <v>1482996</v>
      </c>
      <c r="Y32" s="37">
        <f t="shared" si="4"/>
        <v>0</v>
      </c>
      <c r="Z32" s="37">
        <f t="shared" si="4"/>
        <v>0</v>
      </c>
      <c r="AA32" s="37">
        <f t="shared" si="4"/>
        <v>0</v>
      </c>
      <c r="AB32" s="37">
        <f t="shared" si="4"/>
        <v>0</v>
      </c>
      <c r="AC32" s="37">
        <f t="shared" si="4"/>
        <v>0</v>
      </c>
      <c r="AD32" s="37">
        <f t="shared" si="4"/>
        <v>0</v>
      </c>
      <c r="AE32" s="37">
        <f t="shared" si="4"/>
        <v>0</v>
      </c>
      <c r="AF32" s="37">
        <f t="shared" si="4"/>
        <v>0</v>
      </c>
      <c r="AG32" s="37">
        <f t="shared" si="4"/>
        <v>0</v>
      </c>
      <c r="AH32" s="37">
        <f t="shared" si="4"/>
        <v>1716005</v>
      </c>
      <c r="AI32" s="37">
        <f t="shared" si="4"/>
        <v>0</v>
      </c>
      <c r="AJ32" s="86">
        <f t="shared" si="0"/>
        <v>6857175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7" customWidth="1"/>
    <col min="2" max="35" width="16" style="7" customWidth="1"/>
    <col min="36" max="36" width="16" style="8" customWidth="1"/>
    <col min="37" max="16384" width="9.140625" style="7"/>
  </cols>
  <sheetData>
    <row r="1" spans="1:36" ht="18.75" x14ac:dyDescent="0.3">
      <c r="A1" s="17" t="s">
        <v>300</v>
      </c>
    </row>
    <row r="2" spans="1:36" x14ac:dyDescent="0.25">
      <c r="A2" s="6" t="s">
        <v>47</v>
      </c>
    </row>
    <row r="3" spans="1:36" x14ac:dyDescent="0.25">
      <c r="A3" s="1" t="s">
        <v>0</v>
      </c>
      <c r="B3" s="92" t="s">
        <v>1</v>
      </c>
      <c r="C3" s="92" t="s">
        <v>2</v>
      </c>
      <c r="D3" s="92" t="s">
        <v>3</v>
      </c>
      <c r="E3" s="92" t="s">
        <v>307</v>
      </c>
      <c r="F3" s="92" t="s">
        <v>5</v>
      </c>
      <c r="G3" s="92" t="s">
        <v>6</v>
      </c>
      <c r="H3" s="92" t="s">
        <v>7</v>
      </c>
      <c r="I3" s="92" t="s">
        <v>8</v>
      </c>
      <c r="J3" s="92" t="s">
        <v>9</v>
      </c>
      <c r="K3" s="92" t="s">
        <v>10</v>
      </c>
      <c r="L3" s="92" t="s">
        <v>11</v>
      </c>
      <c r="M3" s="92" t="s">
        <v>12</v>
      </c>
      <c r="N3" s="92" t="s">
        <v>13</v>
      </c>
      <c r="O3" s="92" t="s">
        <v>14</v>
      </c>
      <c r="P3" s="92" t="s">
        <v>15</v>
      </c>
      <c r="Q3" s="92" t="s">
        <v>16</v>
      </c>
      <c r="R3" s="92" t="s">
        <v>17</v>
      </c>
      <c r="S3" s="92" t="s">
        <v>18</v>
      </c>
      <c r="T3" s="92" t="s">
        <v>296</v>
      </c>
      <c r="U3" s="92" t="s">
        <v>19</v>
      </c>
      <c r="V3" s="92" t="s">
        <v>20</v>
      </c>
      <c r="W3" s="92" t="s">
        <v>21</v>
      </c>
      <c r="X3" s="92" t="s">
        <v>22</v>
      </c>
      <c r="Y3" s="92" t="s">
        <v>23</v>
      </c>
      <c r="Z3" s="92" t="s">
        <v>24</v>
      </c>
      <c r="AA3" s="92" t="s">
        <v>25</v>
      </c>
      <c r="AB3" s="92" t="s">
        <v>26</v>
      </c>
      <c r="AC3" s="92" t="s">
        <v>27</v>
      </c>
      <c r="AD3" s="92" t="s">
        <v>28</v>
      </c>
      <c r="AE3" s="92" t="s">
        <v>29</v>
      </c>
      <c r="AF3" s="92" t="s">
        <v>30</v>
      </c>
      <c r="AG3" s="92" t="s">
        <v>31</v>
      </c>
      <c r="AH3" s="91" t="s">
        <v>32</v>
      </c>
      <c r="AI3" s="92" t="s">
        <v>33</v>
      </c>
      <c r="AJ3" s="90" t="s">
        <v>34</v>
      </c>
    </row>
    <row r="4" spans="1:36" x14ac:dyDescent="0.25">
      <c r="A4" s="2" t="s">
        <v>77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79">
        <f>SUM(B4:AI4)</f>
        <v>0</v>
      </c>
    </row>
    <row r="5" spans="1:36" x14ac:dyDescent="0.25">
      <c r="A5" s="2" t="s">
        <v>78</v>
      </c>
      <c r="B5" s="10">
        <v>63651</v>
      </c>
      <c r="C5" s="10">
        <v>456949</v>
      </c>
      <c r="D5" s="10">
        <v>1033422</v>
      </c>
      <c r="E5" s="10">
        <f>173157+1974</f>
        <v>175131</v>
      </c>
      <c r="F5" s="10">
        <v>166157</v>
      </c>
      <c r="G5" s="10">
        <v>38065</v>
      </c>
      <c r="H5" s="10">
        <v>154646</v>
      </c>
      <c r="I5" s="10">
        <v>368820</v>
      </c>
      <c r="J5" s="10">
        <v>70724</v>
      </c>
      <c r="K5" s="10">
        <v>13299.12</v>
      </c>
      <c r="L5" s="10">
        <v>37890</v>
      </c>
      <c r="M5" s="10">
        <v>12611</v>
      </c>
      <c r="N5" s="10">
        <v>348096</v>
      </c>
      <c r="O5" s="10">
        <v>2757062</v>
      </c>
      <c r="P5" s="10">
        <v>167022</v>
      </c>
      <c r="Q5" s="10">
        <v>26386</v>
      </c>
      <c r="R5" s="10">
        <v>109941</v>
      </c>
      <c r="S5" s="10">
        <v>198222</v>
      </c>
      <c r="T5" s="10">
        <v>26857</v>
      </c>
      <c r="U5" s="10">
        <v>225483</v>
      </c>
      <c r="V5" s="10">
        <v>38842</v>
      </c>
      <c r="W5" s="10">
        <v>448324</v>
      </c>
      <c r="X5" s="10">
        <v>91794</v>
      </c>
      <c r="Y5" s="10">
        <v>8422</v>
      </c>
      <c r="Z5" s="10">
        <v>105244</v>
      </c>
      <c r="AA5" s="10"/>
      <c r="AB5" s="10">
        <v>307688</v>
      </c>
      <c r="AC5" s="10">
        <v>62678</v>
      </c>
      <c r="AD5" s="10">
        <v>405375</v>
      </c>
      <c r="AE5" s="10">
        <v>20887</v>
      </c>
      <c r="AF5" s="10">
        <v>356109</v>
      </c>
      <c r="AG5" s="10">
        <v>641946</v>
      </c>
      <c r="AH5" s="10">
        <v>27594</v>
      </c>
      <c r="AI5" s="10">
        <v>36050</v>
      </c>
      <c r="AJ5" s="80">
        <f t="shared" ref="AJ5:AJ19" si="0">SUM(B5:AI5)</f>
        <v>9001387.120000001</v>
      </c>
    </row>
    <row r="6" spans="1:36" x14ac:dyDescent="0.25">
      <c r="A6" s="2" t="s">
        <v>79</v>
      </c>
      <c r="B6" s="10"/>
      <c r="C6" s="10"/>
      <c r="D6" s="10"/>
      <c r="E6" s="10"/>
      <c r="F6" s="10">
        <v>846062</v>
      </c>
      <c r="G6" s="10"/>
      <c r="H6" s="10"/>
      <c r="I6" s="10"/>
      <c r="J6" s="10"/>
      <c r="K6" s="10">
        <v>748152.33</v>
      </c>
      <c r="L6" s="10"/>
      <c r="M6" s="10"/>
      <c r="N6" s="10"/>
      <c r="O6" s="10">
        <v>2411770</v>
      </c>
      <c r="P6" s="10">
        <v>37849</v>
      </c>
      <c r="Q6" s="10"/>
      <c r="R6" s="10"/>
      <c r="S6" s="10"/>
      <c r="T6" s="10">
        <v>7559</v>
      </c>
      <c r="U6" s="10"/>
      <c r="V6" s="10">
        <v>6452</v>
      </c>
      <c r="W6" s="10">
        <v>136860</v>
      </c>
      <c r="X6" s="10">
        <v>59546</v>
      </c>
      <c r="Y6" s="10"/>
      <c r="Z6" s="10"/>
      <c r="AA6" s="10"/>
      <c r="AB6" s="10"/>
      <c r="AC6" s="10"/>
      <c r="AD6" s="10"/>
      <c r="AE6" s="10"/>
      <c r="AF6" s="10">
        <v>11600</v>
      </c>
      <c r="AG6" s="10"/>
      <c r="AH6" s="10">
        <v>125859</v>
      </c>
      <c r="AI6" s="10"/>
      <c r="AJ6" s="80">
        <f t="shared" si="0"/>
        <v>4391709.33</v>
      </c>
    </row>
    <row r="7" spans="1:36" x14ac:dyDescent="0.25">
      <c r="A7" s="2" t="s">
        <v>80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>
        <v>293334</v>
      </c>
      <c r="W7" s="10">
        <v>289569</v>
      </c>
      <c r="X7" s="10"/>
      <c r="Y7" s="10"/>
      <c r="Z7" s="10"/>
      <c r="AA7" s="10"/>
      <c r="AB7" s="10"/>
      <c r="AC7" s="10"/>
      <c r="AD7" s="10"/>
      <c r="AE7" s="10">
        <v>212244</v>
      </c>
      <c r="AF7" s="10"/>
      <c r="AG7" s="10"/>
      <c r="AH7" s="10">
        <v>25124</v>
      </c>
      <c r="AI7" s="10"/>
      <c r="AJ7" s="80">
        <f t="shared" si="0"/>
        <v>820271</v>
      </c>
    </row>
    <row r="8" spans="1:36" x14ac:dyDescent="0.25">
      <c r="A8" s="2" t="s">
        <v>81</v>
      </c>
      <c r="B8" s="10">
        <v>78</v>
      </c>
      <c r="C8" s="10"/>
      <c r="D8" s="10">
        <v>903910</v>
      </c>
      <c r="E8" s="10"/>
      <c r="F8" s="10">
        <v>54731</v>
      </c>
      <c r="G8" s="10">
        <v>16344</v>
      </c>
      <c r="H8" s="10"/>
      <c r="I8" s="10">
        <v>33149</v>
      </c>
      <c r="J8" s="10">
        <v>1275</v>
      </c>
      <c r="K8" s="10">
        <v>53862.32</v>
      </c>
      <c r="L8" s="10">
        <v>33719</v>
      </c>
      <c r="M8" s="10">
        <v>29557</v>
      </c>
      <c r="N8" s="10">
        <v>25481</v>
      </c>
      <c r="O8" s="10"/>
      <c r="P8" s="10"/>
      <c r="Q8" s="10">
        <v>1002</v>
      </c>
      <c r="R8" s="10"/>
      <c r="S8" s="10">
        <v>18607</v>
      </c>
      <c r="T8" s="10"/>
      <c r="U8" s="10">
        <v>13998</v>
      </c>
      <c r="V8" s="10"/>
      <c r="W8" s="10"/>
      <c r="X8" s="10">
        <v>307836</v>
      </c>
      <c r="Y8" s="10">
        <v>11343</v>
      </c>
      <c r="Z8" s="10">
        <v>20728</v>
      </c>
      <c r="AA8" s="10"/>
      <c r="AB8" s="10">
        <v>12464</v>
      </c>
      <c r="AC8" s="10">
        <v>63547</v>
      </c>
      <c r="AD8" s="10">
        <v>116065</v>
      </c>
      <c r="AE8" s="10">
        <v>13775</v>
      </c>
      <c r="AF8" s="10"/>
      <c r="AG8" s="10">
        <v>70704</v>
      </c>
      <c r="AH8" s="10">
        <v>43831</v>
      </c>
      <c r="AI8" s="10"/>
      <c r="AJ8" s="80">
        <f t="shared" si="0"/>
        <v>1846006.32</v>
      </c>
    </row>
    <row r="9" spans="1:36" x14ac:dyDescent="0.25">
      <c r="A9" s="2" t="s">
        <v>82</v>
      </c>
      <c r="B9" s="10"/>
      <c r="C9" s="10"/>
      <c r="D9" s="10">
        <v>287224</v>
      </c>
      <c r="E9" s="10"/>
      <c r="F9" s="10">
        <v>2270354</v>
      </c>
      <c r="G9" s="10"/>
      <c r="H9" s="10">
        <v>317047</v>
      </c>
      <c r="I9" s="10"/>
      <c r="J9" s="10"/>
      <c r="K9" s="10">
        <v>285918.76</v>
      </c>
      <c r="L9" s="10"/>
      <c r="M9" s="10"/>
      <c r="N9" s="10">
        <v>1137713</v>
      </c>
      <c r="O9" s="10">
        <v>398183</v>
      </c>
      <c r="P9" s="10">
        <v>10287</v>
      </c>
      <c r="Q9" s="10"/>
      <c r="R9" s="10"/>
      <c r="S9" s="10"/>
      <c r="T9" s="10"/>
      <c r="U9" s="10"/>
      <c r="V9" s="10">
        <v>798746</v>
      </c>
      <c r="W9" s="10">
        <v>1067652</v>
      </c>
      <c r="X9" s="10">
        <v>566679</v>
      </c>
      <c r="Y9" s="10"/>
      <c r="Z9" s="10"/>
      <c r="AA9" s="10"/>
      <c r="AB9" s="10"/>
      <c r="AC9" s="10"/>
      <c r="AD9" s="10"/>
      <c r="AE9" s="10">
        <v>146673</v>
      </c>
      <c r="AF9" s="10">
        <v>14649</v>
      </c>
      <c r="AG9" s="10">
        <v>777044</v>
      </c>
      <c r="AH9" s="10">
        <v>364176</v>
      </c>
      <c r="AI9" s="10">
        <v>673</v>
      </c>
      <c r="AJ9" s="80">
        <f t="shared" si="0"/>
        <v>8443018.7599999998</v>
      </c>
    </row>
    <row r="10" spans="1:36" x14ac:dyDescent="0.25">
      <c r="A10" s="2" t="s">
        <v>83</v>
      </c>
      <c r="B10" s="10">
        <v>808</v>
      </c>
      <c r="C10" s="10">
        <v>5593</v>
      </c>
      <c r="D10" s="10">
        <v>65797</v>
      </c>
      <c r="E10" s="10">
        <v>20908</v>
      </c>
      <c r="F10" s="10">
        <v>149053</v>
      </c>
      <c r="G10" s="10">
        <v>7802</v>
      </c>
      <c r="H10" s="10">
        <v>5853</v>
      </c>
      <c r="I10" s="10">
        <v>7886</v>
      </c>
      <c r="J10" s="10">
        <v>2753</v>
      </c>
      <c r="K10" s="10">
        <v>33140.379999999997</v>
      </c>
      <c r="L10" s="10">
        <v>10630</v>
      </c>
      <c r="M10" s="10">
        <v>8628</v>
      </c>
      <c r="N10" s="10">
        <v>163125</v>
      </c>
      <c r="O10" s="10">
        <v>426795</v>
      </c>
      <c r="P10" s="10">
        <v>169904</v>
      </c>
      <c r="Q10" s="10">
        <v>98</v>
      </c>
      <c r="R10" s="10">
        <v>1074</v>
      </c>
      <c r="S10" s="10">
        <v>805</v>
      </c>
      <c r="T10" s="10">
        <v>3594</v>
      </c>
      <c r="U10" s="10">
        <v>5456</v>
      </c>
      <c r="V10" s="10">
        <v>99956.153172406484</v>
      </c>
      <c r="W10" s="10">
        <v>304114</v>
      </c>
      <c r="X10" s="10">
        <v>90112</v>
      </c>
      <c r="Y10" s="10">
        <v>4222</v>
      </c>
      <c r="Z10" s="10">
        <v>20051</v>
      </c>
      <c r="AA10" s="10"/>
      <c r="AB10" s="10">
        <v>481</v>
      </c>
      <c r="AC10" s="10">
        <v>10935</v>
      </c>
      <c r="AD10" s="10">
        <v>16960</v>
      </c>
      <c r="AE10" s="10">
        <v>41452</v>
      </c>
      <c r="AF10" s="10">
        <v>142519</v>
      </c>
      <c r="AG10" s="10">
        <v>16536</v>
      </c>
      <c r="AH10" s="10">
        <v>66547</v>
      </c>
      <c r="AI10" s="10">
        <v>17282</v>
      </c>
      <c r="AJ10" s="80">
        <f t="shared" si="0"/>
        <v>1920869.5331724063</v>
      </c>
    </row>
    <row r="11" spans="1:36" x14ac:dyDescent="0.25">
      <c r="A11" s="2" t="s">
        <v>84</v>
      </c>
      <c r="B11" s="10">
        <v>14650</v>
      </c>
      <c r="C11" s="10">
        <v>81030</v>
      </c>
      <c r="D11" s="10">
        <v>372678</v>
      </c>
      <c r="E11" s="10">
        <v>80378</v>
      </c>
      <c r="F11" s="10">
        <v>359452</v>
      </c>
      <c r="G11" s="10">
        <v>91859</v>
      </c>
      <c r="H11" s="10">
        <v>85490</v>
      </c>
      <c r="I11" s="10">
        <v>130390</v>
      </c>
      <c r="J11" s="10">
        <v>4921</v>
      </c>
      <c r="K11" s="10">
        <v>27124.22</v>
      </c>
      <c r="L11" s="10">
        <v>67366</v>
      </c>
      <c r="M11" s="10">
        <v>85377</v>
      </c>
      <c r="N11" s="10">
        <v>252795</v>
      </c>
      <c r="O11" s="10">
        <v>191156</v>
      </c>
      <c r="P11" s="10">
        <v>130483</v>
      </c>
      <c r="Q11" s="10">
        <v>19018</v>
      </c>
      <c r="R11" s="10">
        <v>35007</v>
      </c>
      <c r="S11" s="10">
        <v>34768</v>
      </c>
      <c r="T11" s="10">
        <v>60877</v>
      </c>
      <c r="U11" s="10">
        <f>42183+30315</f>
        <v>72498</v>
      </c>
      <c r="V11" s="10">
        <v>130821</v>
      </c>
      <c r="W11" s="10">
        <v>811768</v>
      </c>
      <c r="X11" s="10">
        <v>396706</v>
      </c>
      <c r="Y11" s="10">
        <v>8796</v>
      </c>
      <c r="Z11" s="10">
        <v>104988</v>
      </c>
      <c r="AA11" s="10"/>
      <c r="AB11" s="10">
        <v>161967</v>
      </c>
      <c r="AC11" s="10">
        <v>60037</v>
      </c>
      <c r="AD11" s="10">
        <v>360830</v>
      </c>
      <c r="AE11" s="10">
        <v>34802</v>
      </c>
      <c r="AF11" s="10">
        <v>166801</v>
      </c>
      <c r="AG11" s="10">
        <v>289785</v>
      </c>
      <c r="AH11" s="10">
        <v>241937</v>
      </c>
      <c r="AI11" s="10">
        <v>306319</v>
      </c>
      <c r="AJ11" s="80">
        <f t="shared" si="0"/>
        <v>5272874.22</v>
      </c>
    </row>
    <row r="12" spans="1:36" x14ac:dyDescent="0.25">
      <c r="A12" s="2" t="s">
        <v>85</v>
      </c>
      <c r="B12" s="10"/>
      <c r="C12" s="10">
        <v>11173</v>
      </c>
      <c r="D12" s="10">
        <v>14573</v>
      </c>
      <c r="E12" s="10">
        <v>11377</v>
      </c>
      <c r="F12" s="10">
        <v>40433</v>
      </c>
      <c r="G12" s="10"/>
      <c r="H12" s="10">
        <v>18012</v>
      </c>
      <c r="I12" s="10">
        <v>1564</v>
      </c>
      <c r="J12" s="10"/>
      <c r="K12" s="10">
        <v>2334.5</v>
      </c>
      <c r="L12" s="10">
        <v>1838</v>
      </c>
      <c r="M12" s="10"/>
      <c r="N12" s="10">
        <v>112083</v>
      </c>
      <c r="O12" s="10">
        <v>94648</v>
      </c>
      <c r="P12" s="10">
        <v>11317</v>
      </c>
      <c r="Q12" s="10">
        <v>24142</v>
      </c>
      <c r="R12" s="10">
        <v>3020</v>
      </c>
      <c r="S12" s="10">
        <v>6868</v>
      </c>
      <c r="T12" s="10"/>
      <c r="U12" s="10"/>
      <c r="V12" s="10">
        <v>536013</v>
      </c>
      <c r="W12" s="10">
        <v>1130775</v>
      </c>
      <c r="X12" s="10">
        <v>571461</v>
      </c>
      <c r="Y12" s="10">
        <v>199</v>
      </c>
      <c r="Z12" s="10">
        <v>10557</v>
      </c>
      <c r="AA12" s="10"/>
      <c r="AB12" s="10"/>
      <c r="AC12" s="10">
        <v>2645</v>
      </c>
      <c r="AD12" s="10">
        <v>750</v>
      </c>
      <c r="AE12" s="10">
        <v>301</v>
      </c>
      <c r="AF12" s="10">
        <v>26085</v>
      </c>
      <c r="AG12" s="10">
        <v>43283</v>
      </c>
      <c r="AH12" s="10">
        <v>481502</v>
      </c>
      <c r="AI12" s="10">
        <v>4209</v>
      </c>
      <c r="AJ12" s="80">
        <f t="shared" si="0"/>
        <v>3161162.5</v>
      </c>
    </row>
    <row r="13" spans="1:36" x14ac:dyDescent="0.25">
      <c r="A13" s="2" t="s">
        <v>86</v>
      </c>
      <c r="B13" s="10">
        <v>2309</v>
      </c>
      <c r="C13" s="10"/>
      <c r="D13" s="10">
        <v>7921</v>
      </c>
      <c r="E13" s="10">
        <v>14119</v>
      </c>
      <c r="F13" s="10">
        <v>86581</v>
      </c>
      <c r="G13" s="10">
        <v>8031</v>
      </c>
      <c r="H13" s="10">
        <v>8648</v>
      </c>
      <c r="I13" s="10">
        <v>8575</v>
      </c>
      <c r="J13" s="10">
        <v>1721</v>
      </c>
      <c r="K13" s="10">
        <v>15452.06</v>
      </c>
      <c r="L13" s="10">
        <v>20256</v>
      </c>
      <c r="M13" s="10">
        <v>26671</v>
      </c>
      <c r="N13" s="10">
        <v>39980</v>
      </c>
      <c r="O13" s="10">
        <v>445924</v>
      </c>
      <c r="P13" s="10">
        <v>32480</v>
      </c>
      <c r="Q13" s="10">
        <v>1134</v>
      </c>
      <c r="R13" s="10">
        <v>12241</v>
      </c>
      <c r="S13" s="10">
        <v>1200</v>
      </c>
      <c r="T13" s="10">
        <v>4442</v>
      </c>
      <c r="U13" s="10">
        <v>19721</v>
      </c>
      <c r="V13" s="10">
        <v>16054</v>
      </c>
      <c r="W13" s="10">
        <v>23167</v>
      </c>
      <c r="X13" s="10">
        <v>14548</v>
      </c>
      <c r="Y13" s="10">
        <v>601</v>
      </c>
      <c r="Z13" s="10">
        <v>37704</v>
      </c>
      <c r="AA13" s="10"/>
      <c r="AB13" s="10">
        <v>25609</v>
      </c>
      <c r="AC13" s="10">
        <v>17288</v>
      </c>
      <c r="AD13" s="10">
        <v>51793</v>
      </c>
      <c r="AE13" s="10">
        <v>25080</v>
      </c>
      <c r="AF13" s="10">
        <v>74027</v>
      </c>
      <c r="AG13" s="10">
        <v>42586</v>
      </c>
      <c r="AH13" s="10">
        <v>17215</v>
      </c>
      <c r="AI13" s="10">
        <v>6427</v>
      </c>
      <c r="AJ13" s="80">
        <f t="shared" si="0"/>
        <v>1109505.06</v>
      </c>
    </row>
    <row r="14" spans="1:36" x14ac:dyDescent="0.25">
      <c r="A14" s="2" t="s">
        <v>87</v>
      </c>
      <c r="B14" s="10"/>
      <c r="C14" s="10"/>
      <c r="D14" s="10">
        <v>5361</v>
      </c>
      <c r="E14" s="10"/>
      <c r="F14" s="10"/>
      <c r="G14" s="10"/>
      <c r="H14" s="10">
        <v>11352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>
        <v>4526</v>
      </c>
      <c r="T14" s="10"/>
      <c r="U14" s="10"/>
      <c r="V14" s="10">
        <v>86512.549999999988</v>
      </c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>
        <v>74524</v>
      </c>
      <c r="AI14" s="10"/>
      <c r="AJ14" s="80">
        <f t="shared" si="0"/>
        <v>182275.55</v>
      </c>
    </row>
    <row r="15" spans="1:36" x14ac:dyDescent="0.25">
      <c r="A15" s="2" t="s">
        <v>88</v>
      </c>
      <c r="B15" s="10">
        <f>B16-B14-B13-B12-B11-B10-B9-B8-B7-B6-B5-B4</f>
        <v>0</v>
      </c>
      <c r="C15" s="10">
        <f t="shared" ref="C15:AI15" si="1">C16-C14-C13-C12-C11-C10-C9-C8-C7-C6-C5-C4</f>
        <v>77618</v>
      </c>
      <c r="D15" s="10">
        <f t="shared" si="1"/>
        <v>0</v>
      </c>
      <c r="E15" s="10">
        <f t="shared" si="1"/>
        <v>0</v>
      </c>
      <c r="F15" s="10">
        <f t="shared" si="1"/>
        <v>0</v>
      </c>
      <c r="G15" s="10">
        <f t="shared" si="1"/>
        <v>0</v>
      </c>
      <c r="H15" s="10">
        <f t="shared" si="1"/>
        <v>98541</v>
      </c>
      <c r="I15" s="10">
        <f t="shared" si="1"/>
        <v>0</v>
      </c>
      <c r="J15" s="10">
        <f t="shared" si="1"/>
        <v>0</v>
      </c>
      <c r="K15" s="10">
        <f t="shared" si="1"/>
        <v>1.1095835361629725E-10</v>
      </c>
      <c r="L15" s="10">
        <f t="shared" si="1"/>
        <v>0</v>
      </c>
      <c r="M15" s="10">
        <f t="shared" si="1"/>
        <v>0</v>
      </c>
      <c r="N15" s="10">
        <f t="shared" si="1"/>
        <v>2</v>
      </c>
      <c r="O15" s="10">
        <f t="shared" si="1"/>
        <v>0</v>
      </c>
      <c r="P15" s="10">
        <f t="shared" si="1"/>
        <v>0</v>
      </c>
      <c r="Q15" s="10">
        <f t="shared" si="1"/>
        <v>0</v>
      </c>
      <c r="R15" s="10">
        <f t="shared" si="1"/>
        <v>14316</v>
      </c>
      <c r="S15" s="10">
        <f t="shared" si="1"/>
        <v>0</v>
      </c>
      <c r="T15" s="10">
        <f t="shared" si="1"/>
        <v>-1</v>
      </c>
      <c r="U15" s="10">
        <f t="shared" si="1"/>
        <v>-1</v>
      </c>
      <c r="V15" s="10">
        <f t="shared" si="1"/>
        <v>656608.29682759382</v>
      </c>
      <c r="W15" s="10">
        <f t="shared" si="1"/>
        <v>179500</v>
      </c>
      <c r="X15" s="10">
        <f t="shared" si="1"/>
        <v>89370</v>
      </c>
      <c r="Y15" s="10">
        <f t="shared" si="1"/>
        <v>1</v>
      </c>
      <c r="Z15" s="10">
        <f t="shared" si="1"/>
        <v>33</v>
      </c>
      <c r="AA15" s="10">
        <f t="shared" si="1"/>
        <v>0</v>
      </c>
      <c r="AB15" s="10">
        <f t="shared" si="1"/>
        <v>0</v>
      </c>
      <c r="AC15" s="10">
        <f t="shared" si="1"/>
        <v>25703</v>
      </c>
      <c r="AD15" s="10">
        <f t="shared" si="1"/>
        <v>0</v>
      </c>
      <c r="AE15" s="10">
        <f t="shared" si="1"/>
        <v>0</v>
      </c>
      <c r="AF15" s="10">
        <f t="shared" si="1"/>
        <v>128</v>
      </c>
      <c r="AG15" s="10">
        <f t="shared" si="1"/>
        <v>53762</v>
      </c>
      <c r="AH15" s="10">
        <f t="shared" si="1"/>
        <v>69764</v>
      </c>
      <c r="AI15" s="10">
        <f t="shared" si="1"/>
        <v>0</v>
      </c>
      <c r="AJ15" s="80">
        <f t="shared" si="0"/>
        <v>1265344.2968275938</v>
      </c>
    </row>
    <row r="16" spans="1:36" s="8" customFormat="1" x14ac:dyDescent="0.25">
      <c r="A16" s="3" t="s">
        <v>55</v>
      </c>
      <c r="B16" s="11">
        <v>81496</v>
      </c>
      <c r="C16" s="11">
        <v>632363</v>
      </c>
      <c r="D16" s="11">
        <v>2690886</v>
      </c>
      <c r="E16" s="11">
        <v>301913</v>
      </c>
      <c r="F16" s="11">
        <v>3972823</v>
      </c>
      <c r="G16" s="11">
        <v>162101</v>
      </c>
      <c r="H16" s="11">
        <v>699589</v>
      </c>
      <c r="I16" s="11">
        <v>550384</v>
      </c>
      <c r="J16" s="11">
        <v>81394</v>
      </c>
      <c r="K16" s="11">
        <v>1179283.69</v>
      </c>
      <c r="L16" s="11">
        <v>171699</v>
      </c>
      <c r="M16" s="11">
        <v>162844</v>
      </c>
      <c r="N16" s="11">
        <v>2079275</v>
      </c>
      <c r="O16" s="11">
        <v>6725538</v>
      </c>
      <c r="P16" s="11">
        <v>559342</v>
      </c>
      <c r="Q16" s="11">
        <v>71780</v>
      </c>
      <c r="R16" s="11">
        <v>175599</v>
      </c>
      <c r="S16" s="11">
        <v>264996</v>
      </c>
      <c r="T16" s="11">
        <v>103328</v>
      </c>
      <c r="U16" s="11">
        <v>337155</v>
      </c>
      <c r="V16" s="11">
        <v>2663339</v>
      </c>
      <c r="W16" s="11">
        <v>4391729</v>
      </c>
      <c r="X16" s="11">
        <v>2188052</v>
      </c>
      <c r="Y16" s="11">
        <v>33584</v>
      </c>
      <c r="Z16" s="11">
        <v>299305</v>
      </c>
      <c r="AA16" s="11"/>
      <c r="AB16" s="11">
        <v>508209</v>
      </c>
      <c r="AC16" s="11">
        <v>242833</v>
      </c>
      <c r="AD16" s="11">
        <v>951773</v>
      </c>
      <c r="AE16" s="11">
        <v>495214</v>
      </c>
      <c r="AF16" s="11">
        <v>791918</v>
      </c>
      <c r="AG16" s="11">
        <v>1935646</v>
      </c>
      <c r="AH16" s="11">
        <v>1538073</v>
      </c>
      <c r="AI16" s="11">
        <v>370960</v>
      </c>
      <c r="AJ16" s="79">
        <f t="shared" si="0"/>
        <v>37414423.689999998</v>
      </c>
    </row>
    <row r="17" spans="1:36" x14ac:dyDescent="0.25">
      <c r="A17" s="2" t="s">
        <v>89</v>
      </c>
      <c r="B17" s="10"/>
      <c r="C17" s="10"/>
      <c r="D17" s="10"/>
      <c r="E17" s="10">
        <v>128398</v>
      </c>
      <c r="F17" s="10">
        <v>228027</v>
      </c>
      <c r="G17" s="10">
        <v>20700</v>
      </c>
      <c r="H17" s="10">
        <v>21885</v>
      </c>
      <c r="I17" s="10">
        <v>4583</v>
      </c>
      <c r="J17" s="10">
        <v>46618</v>
      </c>
      <c r="K17" s="10">
        <v>1625284.17</v>
      </c>
      <c r="L17" s="10">
        <v>17826</v>
      </c>
      <c r="M17" s="10">
        <v>83345</v>
      </c>
      <c r="N17" s="10">
        <v>221267</v>
      </c>
      <c r="O17" s="10">
        <v>220381</v>
      </c>
      <c r="P17" s="10">
        <v>101471</v>
      </c>
      <c r="Q17" s="10">
        <v>656</v>
      </c>
      <c r="R17" s="10">
        <v>136731</v>
      </c>
      <c r="S17" s="10">
        <v>11894</v>
      </c>
      <c r="T17" s="10">
        <v>86332</v>
      </c>
      <c r="U17" s="10">
        <v>24251</v>
      </c>
      <c r="V17" s="10">
        <v>860201</v>
      </c>
      <c r="W17" s="10">
        <v>456020</v>
      </c>
      <c r="X17" s="10">
        <v>3567732</v>
      </c>
      <c r="Y17" s="10">
        <v>2090</v>
      </c>
      <c r="Z17" s="10">
        <v>57893</v>
      </c>
      <c r="AA17" s="10"/>
      <c r="AB17" s="10">
        <v>21519</v>
      </c>
      <c r="AC17" s="10">
        <v>14828</v>
      </c>
      <c r="AD17" s="10">
        <v>47193</v>
      </c>
      <c r="AE17" s="10"/>
      <c r="AF17" s="10">
        <v>154903</v>
      </c>
      <c r="AG17" s="10">
        <v>34851</v>
      </c>
      <c r="AH17" s="10">
        <v>1039190</v>
      </c>
      <c r="AI17" s="10">
        <v>14611</v>
      </c>
      <c r="AJ17" s="80">
        <f t="shared" si="0"/>
        <v>9250680.1699999999</v>
      </c>
    </row>
    <row r="18" spans="1:36" ht="30" x14ac:dyDescent="0.25">
      <c r="A18" s="2" t="s">
        <v>90</v>
      </c>
      <c r="B18" s="10"/>
      <c r="C18" s="10">
        <v>37466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80">
        <f t="shared" si="0"/>
        <v>37466</v>
      </c>
    </row>
    <row r="19" spans="1:36" s="8" customFormat="1" x14ac:dyDescent="0.25">
      <c r="A19" s="3" t="s">
        <v>91</v>
      </c>
      <c r="B19" s="11">
        <f>B16+B17+B18</f>
        <v>81496</v>
      </c>
      <c r="C19" s="11">
        <f t="shared" ref="C19:AI19" si="2">C16+C17+C18</f>
        <v>669829</v>
      </c>
      <c r="D19" s="11">
        <f t="shared" si="2"/>
        <v>2690886</v>
      </c>
      <c r="E19" s="11">
        <f t="shared" si="2"/>
        <v>430311</v>
      </c>
      <c r="F19" s="11">
        <f t="shared" si="2"/>
        <v>4200850</v>
      </c>
      <c r="G19" s="11">
        <f t="shared" si="2"/>
        <v>182801</v>
      </c>
      <c r="H19" s="11">
        <f t="shared" si="2"/>
        <v>721474</v>
      </c>
      <c r="I19" s="11">
        <f t="shared" si="2"/>
        <v>554967</v>
      </c>
      <c r="J19" s="11">
        <f t="shared" si="2"/>
        <v>128012</v>
      </c>
      <c r="K19" s="11">
        <f t="shared" si="2"/>
        <v>2804567.86</v>
      </c>
      <c r="L19" s="11">
        <f t="shared" si="2"/>
        <v>189525</v>
      </c>
      <c r="M19" s="11">
        <f t="shared" si="2"/>
        <v>246189</v>
      </c>
      <c r="N19" s="11">
        <f t="shared" si="2"/>
        <v>2300542</v>
      </c>
      <c r="O19" s="11">
        <f t="shared" si="2"/>
        <v>6945919</v>
      </c>
      <c r="P19" s="11">
        <f t="shared" si="2"/>
        <v>660813</v>
      </c>
      <c r="Q19" s="11">
        <f t="shared" si="2"/>
        <v>72436</v>
      </c>
      <c r="R19" s="11">
        <f t="shared" si="2"/>
        <v>312330</v>
      </c>
      <c r="S19" s="11">
        <f t="shared" si="2"/>
        <v>276890</v>
      </c>
      <c r="T19" s="11">
        <f t="shared" si="2"/>
        <v>189660</v>
      </c>
      <c r="U19" s="11">
        <f t="shared" si="2"/>
        <v>361406</v>
      </c>
      <c r="V19" s="11">
        <f t="shared" si="2"/>
        <v>3523540</v>
      </c>
      <c r="W19" s="11">
        <f t="shared" si="2"/>
        <v>4847749</v>
      </c>
      <c r="X19" s="11">
        <f t="shared" si="2"/>
        <v>5755784</v>
      </c>
      <c r="Y19" s="11">
        <f t="shared" si="2"/>
        <v>35674</v>
      </c>
      <c r="Z19" s="11">
        <f t="shared" si="2"/>
        <v>357198</v>
      </c>
      <c r="AA19" s="11">
        <f t="shared" si="2"/>
        <v>0</v>
      </c>
      <c r="AB19" s="11">
        <f t="shared" si="2"/>
        <v>529728</v>
      </c>
      <c r="AC19" s="11">
        <f t="shared" si="2"/>
        <v>257661</v>
      </c>
      <c r="AD19" s="11">
        <f t="shared" si="2"/>
        <v>998966</v>
      </c>
      <c r="AE19" s="11">
        <f t="shared" si="2"/>
        <v>495214</v>
      </c>
      <c r="AF19" s="11">
        <f t="shared" si="2"/>
        <v>946821</v>
      </c>
      <c r="AG19" s="11">
        <f t="shared" si="2"/>
        <v>1970497</v>
      </c>
      <c r="AH19" s="11">
        <f t="shared" si="2"/>
        <v>2577263</v>
      </c>
      <c r="AI19" s="11">
        <f t="shared" si="2"/>
        <v>385571</v>
      </c>
      <c r="AJ19" s="79">
        <f t="shared" si="0"/>
        <v>46702569.859999999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0.140625" style="7" customWidth="1"/>
    <col min="2" max="35" width="16" style="7" customWidth="1"/>
    <col min="36" max="16384" width="9.140625" style="7"/>
  </cols>
  <sheetData>
    <row r="1" spans="1:35" ht="18.75" x14ac:dyDescent="0.3">
      <c r="A1" s="17" t="s">
        <v>301</v>
      </c>
    </row>
    <row r="2" spans="1:35" x14ac:dyDescent="0.25">
      <c r="A2" s="6" t="s">
        <v>47</v>
      </c>
    </row>
    <row r="3" spans="1:35" x14ac:dyDescent="0.25">
      <c r="A3" s="1" t="s">
        <v>0</v>
      </c>
      <c r="B3" s="92" t="s">
        <v>1</v>
      </c>
      <c r="C3" s="92" t="s">
        <v>2</v>
      </c>
      <c r="D3" s="92" t="s">
        <v>3</v>
      </c>
      <c r="E3" s="92" t="s">
        <v>307</v>
      </c>
      <c r="F3" s="92" t="s">
        <v>5</v>
      </c>
      <c r="G3" s="92" t="s">
        <v>6</v>
      </c>
      <c r="H3" s="92" t="s">
        <v>7</v>
      </c>
      <c r="I3" s="92" t="s">
        <v>8</v>
      </c>
      <c r="J3" s="92" t="s">
        <v>9</v>
      </c>
      <c r="K3" s="92" t="s">
        <v>10</v>
      </c>
      <c r="L3" s="92" t="s">
        <v>11</v>
      </c>
      <c r="M3" s="92" t="s">
        <v>12</v>
      </c>
      <c r="N3" s="92" t="s">
        <v>13</v>
      </c>
      <c r="O3" s="92" t="s">
        <v>14</v>
      </c>
      <c r="P3" s="92" t="s">
        <v>15</v>
      </c>
      <c r="Q3" s="92" t="s">
        <v>16</v>
      </c>
      <c r="R3" s="92" t="s">
        <v>17</v>
      </c>
      <c r="S3" s="92" t="s">
        <v>18</v>
      </c>
      <c r="T3" s="92" t="s">
        <v>296</v>
      </c>
      <c r="U3" s="92" t="s">
        <v>19</v>
      </c>
      <c r="V3" s="92" t="s">
        <v>20</v>
      </c>
      <c r="W3" s="92" t="s">
        <v>21</v>
      </c>
      <c r="X3" s="92" t="s">
        <v>22</v>
      </c>
      <c r="Y3" s="92" t="s">
        <v>23</v>
      </c>
      <c r="Z3" s="92" t="s">
        <v>24</v>
      </c>
      <c r="AA3" s="92" t="s">
        <v>25</v>
      </c>
      <c r="AB3" s="92" t="s">
        <v>26</v>
      </c>
      <c r="AC3" s="92" t="s">
        <v>27</v>
      </c>
      <c r="AD3" s="92" t="s">
        <v>28</v>
      </c>
      <c r="AE3" s="92" t="s">
        <v>29</v>
      </c>
      <c r="AF3" s="92" t="s">
        <v>30</v>
      </c>
      <c r="AG3" s="92" t="s">
        <v>31</v>
      </c>
      <c r="AH3" s="91" t="s">
        <v>32</v>
      </c>
      <c r="AI3" s="92" t="s">
        <v>33</v>
      </c>
    </row>
    <row r="4" spans="1:35" ht="15" customHeight="1" x14ac:dyDescent="0.25">
      <c r="A4" s="2" t="s">
        <v>92</v>
      </c>
      <c r="B4" s="10">
        <v>439</v>
      </c>
      <c r="C4" s="10">
        <v>1321</v>
      </c>
      <c r="D4" s="10">
        <v>54</v>
      </c>
      <c r="E4" s="10">
        <v>8636</v>
      </c>
      <c r="F4" s="10">
        <v>13896</v>
      </c>
      <c r="G4" s="10">
        <v>51311</v>
      </c>
      <c r="H4" s="10">
        <v>77931</v>
      </c>
      <c r="I4" s="10">
        <v>4516</v>
      </c>
      <c r="J4" s="10">
        <v>1141</v>
      </c>
      <c r="K4" s="10">
        <v>400</v>
      </c>
      <c r="L4" s="10">
        <v>392100</v>
      </c>
      <c r="M4" s="10">
        <v>265931</v>
      </c>
      <c r="N4" s="10">
        <v>747756</v>
      </c>
      <c r="O4" s="10">
        <v>288997</v>
      </c>
      <c r="P4" s="10">
        <v>16487</v>
      </c>
      <c r="Q4" s="10">
        <v>5878</v>
      </c>
      <c r="R4" s="10">
        <v>60110</v>
      </c>
      <c r="S4" s="10">
        <v>8959</v>
      </c>
      <c r="T4" s="10">
        <v>5941</v>
      </c>
      <c r="U4" s="10">
        <v>16419</v>
      </c>
      <c r="V4" s="10">
        <v>184427</v>
      </c>
      <c r="W4" s="10">
        <v>16315</v>
      </c>
      <c r="X4" s="10">
        <v>217676</v>
      </c>
      <c r="Y4" s="10">
        <v>36</v>
      </c>
      <c r="Z4" s="10">
        <v>9315</v>
      </c>
      <c r="AA4" s="10"/>
      <c r="AB4" s="10">
        <v>26629</v>
      </c>
      <c r="AC4" s="10">
        <v>68996</v>
      </c>
      <c r="AD4" s="10">
        <v>86657</v>
      </c>
      <c r="AE4" s="10">
        <v>48548</v>
      </c>
      <c r="AF4" s="10">
        <v>819093</v>
      </c>
      <c r="AG4" s="10">
        <v>204066</v>
      </c>
      <c r="AH4" s="10">
        <v>271112</v>
      </c>
      <c r="AI4" s="10">
        <v>3906</v>
      </c>
    </row>
    <row r="5" spans="1:35" x14ac:dyDescent="0.25">
      <c r="A5" s="2" t="s">
        <v>93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</row>
    <row r="6" spans="1:35" x14ac:dyDescent="0.25">
      <c r="A6" s="2" t="s">
        <v>94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15" customHeight="1" x14ac:dyDescent="0.25">
      <c r="A7" s="2" t="s">
        <v>95</v>
      </c>
      <c r="B7" s="10"/>
      <c r="C7" s="10">
        <v>4079</v>
      </c>
      <c r="D7" s="10">
        <v>86060973</v>
      </c>
      <c r="E7" s="10">
        <v>1960860</v>
      </c>
      <c r="F7" s="10">
        <v>1387262</v>
      </c>
      <c r="G7" s="10">
        <v>152879</v>
      </c>
      <c r="H7" s="10"/>
      <c r="I7" s="10">
        <v>1051</v>
      </c>
      <c r="J7" s="10"/>
      <c r="K7" s="10">
        <f>3800000+6698930</f>
        <v>10498930</v>
      </c>
      <c r="L7" s="10"/>
      <c r="M7" s="10"/>
      <c r="N7" s="10">
        <v>188000</v>
      </c>
      <c r="O7" s="10">
        <v>61590</v>
      </c>
      <c r="P7" s="10"/>
      <c r="Q7" s="10"/>
      <c r="R7" s="10">
        <v>86300</v>
      </c>
      <c r="S7" s="10"/>
      <c r="T7" s="10">
        <v>12500</v>
      </c>
      <c r="U7" s="10">
        <v>66500</v>
      </c>
      <c r="V7" s="10">
        <v>2059417</v>
      </c>
      <c r="W7" s="10">
        <v>19301098</v>
      </c>
      <c r="X7" s="10">
        <v>15385692</v>
      </c>
      <c r="Y7" s="10"/>
      <c r="Z7" s="10">
        <v>14069</v>
      </c>
      <c r="AA7" s="10"/>
      <c r="AB7" s="10">
        <v>6828</v>
      </c>
      <c r="AC7" s="10"/>
      <c r="AD7" s="10"/>
      <c r="AE7" s="10"/>
      <c r="AF7" s="10">
        <v>400000</v>
      </c>
      <c r="AG7" s="10"/>
      <c r="AH7" s="10">
        <v>2719903</v>
      </c>
      <c r="AI7" s="10"/>
    </row>
    <row r="8" spans="1:35" x14ac:dyDescent="0.25">
      <c r="A8" s="2" t="s">
        <v>96</v>
      </c>
      <c r="B8" s="10"/>
      <c r="C8" s="10"/>
      <c r="D8" s="10"/>
      <c r="E8" s="10">
        <v>357000</v>
      </c>
      <c r="F8" s="10"/>
      <c r="G8" s="10"/>
      <c r="H8" s="10"/>
      <c r="I8" s="10"/>
      <c r="J8" s="10"/>
      <c r="K8" s="10"/>
      <c r="L8" s="10">
        <v>1885</v>
      </c>
      <c r="M8" s="10"/>
      <c r="N8" s="10">
        <v>17053</v>
      </c>
      <c r="O8" s="10"/>
      <c r="P8" s="10"/>
      <c r="Q8" s="10">
        <v>10000</v>
      </c>
      <c r="R8" s="10"/>
      <c r="S8" s="10"/>
      <c r="T8" s="10">
        <v>2500</v>
      </c>
      <c r="U8" s="10"/>
      <c r="V8" s="10"/>
      <c r="W8" s="10">
        <v>54668001</v>
      </c>
      <c r="X8" s="10"/>
      <c r="Y8" s="10"/>
      <c r="Z8" s="10"/>
      <c r="AA8" s="10"/>
      <c r="AB8" s="10">
        <v>4524</v>
      </c>
      <c r="AC8" s="10"/>
      <c r="AD8" s="10"/>
      <c r="AE8" s="10"/>
      <c r="AF8" s="10">
        <v>210000</v>
      </c>
      <c r="AG8" s="10"/>
      <c r="AH8" s="10"/>
      <c r="AI8" s="10"/>
    </row>
    <row r="9" spans="1:35" x14ac:dyDescent="0.25">
      <c r="A9" s="2" t="s">
        <v>97</v>
      </c>
      <c r="B9" s="10">
        <v>64170</v>
      </c>
      <c r="C9" s="10">
        <v>189610</v>
      </c>
      <c r="D9" s="10">
        <v>417207</v>
      </c>
      <c r="E9" s="10">
        <v>403896</v>
      </c>
      <c r="F9" s="10">
        <v>4403179</v>
      </c>
      <c r="G9" s="10">
        <v>167212</v>
      </c>
      <c r="H9" s="10">
        <v>364543</v>
      </c>
      <c r="I9" s="10">
        <v>19551</v>
      </c>
      <c r="J9" s="10">
        <v>29504</v>
      </c>
      <c r="K9" s="10">
        <v>134629.01</v>
      </c>
      <c r="L9" s="10">
        <v>182942</v>
      </c>
      <c r="M9" s="10">
        <v>427828</v>
      </c>
      <c r="N9" s="10">
        <v>2133135</v>
      </c>
      <c r="O9" s="10">
        <v>647947</v>
      </c>
      <c r="P9" s="10">
        <v>594306</v>
      </c>
      <c r="Q9" s="10">
        <v>102497</v>
      </c>
      <c r="R9" s="10">
        <v>94191</v>
      </c>
      <c r="S9" s="10">
        <v>200996</v>
      </c>
      <c r="T9" s="10">
        <v>59632</v>
      </c>
      <c r="U9" s="10">
        <v>83662</v>
      </c>
      <c r="V9" s="10">
        <v>4432200</v>
      </c>
      <c r="W9" s="10">
        <v>7838203</v>
      </c>
      <c r="X9" s="10">
        <v>11905501</v>
      </c>
      <c r="Y9" s="10">
        <v>40383</v>
      </c>
      <c r="Z9" s="10">
        <v>976422</v>
      </c>
      <c r="AA9" s="10"/>
      <c r="AB9" s="10">
        <v>221283</v>
      </c>
      <c r="AC9" s="10">
        <v>555218</v>
      </c>
      <c r="AD9" s="10">
        <v>746547</v>
      </c>
      <c r="AE9" s="10">
        <v>419768</v>
      </c>
      <c r="AF9" s="10">
        <v>2475136</v>
      </c>
      <c r="AG9" s="10">
        <v>2364873</v>
      </c>
      <c r="AH9" s="10">
        <v>3714782</v>
      </c>
      <c r="AI9" s="10">
        <v>1294054</v>
      </c>
    </row>
    <row r="10" spans="1:35" x14ac:dyDescent="0.25">
      <c r="A10" s="2" t="s">
        <v>98</v>
      </c>
      <c r="B10" s="10"/>
      <c r="C10" s="10"/>
      <c r="D10" s="10"/>
      <c r="E10" s="10"/>
      <c r="F10" s="10">
        <v>432839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>
        <v>19579</v>
      </c>
      <c r="T10" s="10"/>
      <c r="U10" s="10"/>
      <c r="V10" s="10"/>
      <c r="W10" s="10"/>
      <c r="X10" s="10"/>
      <c r="Y10" s="10"/>
      <c r="Z10" s="10">
        <v>300207</v>
      </c>
      <c r="AA10" s="10"/>
      <c r="AB10" s="10"/>
      <c r="AC10" s="10"/>
      <c r="AD10" s="10"/>
      <c r="AE10" s="10">
        <v>135875</v>
      </c>
      <c r="AF10" s="10"/>
      <c r="AG10" s="10"/>
      <c r="AH10" s="10"/>
      <c r="AI10" s="10"/>
    </row>
    <row r="11" spans="1:35" x14ac:dyDescent="0.25">
      <c r="A11" s="2" t="s">
        <v>99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</row>
    <row r="12" spans="1:35" x14ac:dyDescent="0.25">
      <c r="A12" s="2" t="s">
        <v>100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</row>
    <row r="13" spans="1:35" x14ac:dyDescent="0.25">
      <c r="A13" s="2" t="s">
        <v>101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</row>
    <row r="14" spans="1:35" x14ac:dyDescent="0.25">
      <c r="A14" s="2" t="s">
        <v>102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>
        <v>7236581</v>
      </c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>
        <v>199946</v>
      </c>
      <c r="AI14" s="10"/>
    </row>
    <row r="15" spans="1:35" x14ac:dyDescent="0.25">
      <c r="A15" s="2" t="s">
        <v>45</v>
      </c>
      <c r="B15" s="10">
        <f>B16-B14-B13-B12-B11-B10-B9-B8-B7-B6-B5-B4</f>
        <v>-540</v>
      </c>
      <c r="C15" s="10">
        <f t="shared" ref="C15:AI15" si="0">C16-C14-C13-C12-C11-C10-C9-C8-C7-C6-C5-C4</f>
        <v>0</v>
      </c>
      <c r="D15" s="10">
        <f t="shared" si="0"/>
        <v>0</v>
      </c>
      <c r="E15" s="10">
        <f t="shared" si="0"/>
        <v>0</v>
      </c>
      <c r="F15" s="10">
        <f t="shared" si="0"/>
        <v>0</v>
      </c>
      <c r="G15" s="10">
        <f t="shared" si="0"/>
        <v>0</v>
      </c>
      <c r="H15" s="10">
        <f t="shared" si="0"/>
        <v>6037</v>
      </c>
      <c r="I15" s="10">
        <f t="shared" si="0"/>
        <v>0</v>
      </c>
      <c r="J15" s="10">
        <f t="shared" si="0"/>
        <v>0</v>
      </c>
      <c r="K15" s="10">
        <f t="shared" si="0"/>
        <v>99.880000000819564</v>
      </c>
      <c r="L15" s="10">
        <f t="shared" si="0"/>
        <v>1</v>
      </c>
      <c r="M15" s="10">
        <f t="shared" si="0"/>
        <v>0</v>
      </c>
      <c r="N15" s="10">
        <f t="shared" si="0"/>
        <v>0</v>
      </c>
      <c r="O15" s="10">
        <f t="shared" si="0"/>
        <v>0</v>
      </c>
      <c r="P15" s="10">
        <f t="shared" si="0"/>
        <v>0</v>
      </c>
      <c r="Q15" s="10">
        <f t="shared" si="0"/>
        <v>0</v>
      </c>
      <c r="R15" s="10">
        <f t="shared" si="0"/>
        <v>-1</v>
      </c>
      <c r="S15" s="10">
        <f t="shared" si="0"/>
        <v>0</v>
      </c>
      <c r="T15" s="10">
        <f t="shared" si="0"/>
        <v>0</v>
      </c>
      <c r="U15" s="10">
        <f t="shared" si="0"/>
        <v>0</v>
      </c>
      <c r="V15" s="10">
        <f t="shared" si="0"/>
        <v>5700</v>
      </c>
      <c r="W15" s="10">
        <f t="shared" si="0"/>
        <v>0</v>
      </c>
      <c r="X15" s="10">
        <f t="shared" si="0"/>
        <v>0</v>
      </c>
      <c r="Y15" s="10">
        <f t="shared" si="0"/>
        <v>0</v>
      </c>
      <c r="Z15" s="10">
        <f t="shared" si="0"/>
        <v>0</v>
      </c>
      <c r="AA15" s="10">
        <f t="shared" si="0"/>
        <v>0</v>
      </c>
      <c r="AB15" s="10">
        <f t="shared" si="0"/>
        <v>0</v>
      </c>
      <c r="AC15" s="10">
        <f t="shared" si="0"/>
        <v>0</v>
      </c>
      <c r="AD15" s="10">
        <f t="shared" si="0"/>
        <v>0</v>
      </c>
      <c r="AE15" s="10">
        <f t="shared" si="0"/>
        <v>-1</v>
      </c>
      <c r="AF15" s="10">
        <f t="shared" si="0"/>
        <v>0</v>
      </c>
      <c r="AG15" s="10">
        <f t="shared" si="0"/>
        <v>0</v>
      </c>
      <c r="AH15" s="10">
        <f t="shared" si="0"/>
        <v>0</v>
      </c>
      <c r="AI15" s="10">
        <f t="shared" si="0"/>
        <v>0</v>
      </c>
    </row>
    <row r="16" spans="1:35" s="8" customFormat="1" x14ac:dyDescent="0.25">
      <c r="A16" s="3" t="s">
        <v>55</v>
      </c>
      <c r="B16" s="11">
        <v>64069</v>
      </c>
      <c r="C16" s="11">
        <v>195010</v>
      </c>
      <c r="D16" s="11">
        <v>86478234</v>
      </c>
      <c r="E16" s="11">
        <v>2730392</v>
      </c>
      <c r="F16" s="11">
        <v>6237176</v>
      </c>
      <c r="G16" s="11">
        <v>371402</v>
      </c>
      <c r="H16" s="11">
        <v>448511</v>
      </c>
      <c r="I16" s="11">
        <v>25118</v>
      </c>
      <c r="J16" s="11">
        <v>30645</v>
      </c>
      <c r="K16" s="11">
        <v>10634058.890000001</v>
      </c>
      <c r="L16" s="11">
        <v>576928</v>
      </c>
      <c r="M16" s="11">
        <v>693759</v>
      </c>
      <c r="N16" s="11">
        <v>3085944</v>
      </c>
      <c r="O16" s="11">
        <v>998534</v>
      </c>
      <c r="P16" s="11">
        <v>610793</v>
      </c>
      <c r="Q16" s="11">
        <v>118375</v>
      </c>
      <c r="R16" s="11">
        <v>240600</v>
      </c>
      <c r="S16" s="11">
        <v>229534</v>
      </c>
      <c r="T16" s="11">
        <v>80573</v>
      </c>
      <c r="U16" s="11">
        <v>166581</v>
      </c>
      <c r="V16" s="11">
        <v>6681744</v>
      </c>
      <c r="W16" s="11">
        <v>89060198</v>
      </c>
      <c r="X16" s="11">
        <v>27508869</v>
      </c>
      <c r="Y16" s="11">
        <v>40419</v>
      </c>
      <c r="Z16" s="11">
        <v>1300013</v>
      </c>
      <c r="AA16" s="11"/>
      <c r="AB16" s="11">
        <v>259264</v>
      </c>
      <c r="AC16" s="11">
        <v>624214</v>
      </c>
      <c r="AD16" s="11">
        <v>833204</v>
      </c>
      <c r="AE16" s="11">
        <v>604190</v>
      </c>
      <c r="AF16" s="11">
        <v>3904229</v>
      </c>
      <c r="AG16" s="11">
        <v>2568939</v>
      </c>
      <c r="AH16" s="11">
        <v>6905743</v>
      </c>
      <c r="AI16" s="11">
        <v>1297960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3.140625" style="7" customWidth="1"/>
    <col min="2" max="35" width="16" style="7" customWidth="1"/>
    <col min="36" max="16384" width="9.140625" style="7"/>
  </cols>
  <sheetData>
    <row r="1" spans="1:35" ht="18.75" x14ac:dyDescent="0.3">
      <c r="A1" s="17" t="s">
        <v>303</v>
      </c>
    </row>
    <row r="2" spans="1:35" x14ac:dyDescent="0.25">
      <c r="A2" s="18" t="s">
        <v>47</v>
      </c>
    </row>
    <row r="3" spans="1:35" x14ac:dyDescent="0.25">
      <c r="A3" s="1" t="s">
        <v>0</v>
      </c>
      <c r="B3" s="92" t="s">
        <v>1</v>
      </c>
      <c r="C3" s="92" t="s">
        <v>2</v>
      </c>
      <c r="D3" s="92" t="s">
        <v>3</v>
      </c>
      <c r="E3" s="92" t="s">
        <v>307</v>
      </c>
      <c r="F3" s="92" t="s">
        <v>5</v>
      </c>
      <c r="G3" s="92" t="s">
        <v>6</v>
      </c>
      <c r="H3" s="92" t="s">
        <v>7</v>
      </c>
      <c r="I3" s="92" t="s">
        <v>8</v>
      </c>
      <c r="J3" s="92" t="s">
        <v>9</v>
      </c>
      <c r="K3" s="92" t="s">
        <v>10</v>
      </c>
      <c r="L3" s="92" t="s">
        <v>11</v>
      </c>
      <c r="M3" s="92" t="s">
        <v>12</v>
      </c>
      <c r="N3" s="92" t="s">
        <v>13</v>
      </c>
      <c r="O3" s="92" t="s">
        <v>14</v>
      </c>
      <c r="P3" s="92" t="s">
        <v>15</v>
      </c>
      <c r="Q3" s="92" t="s">
        <v>16</v>
      </c>
      <c r="R3" s="92" t="s">
        <v>17</v>
      </c>
      <c r="S3" s="92" t="s">
        <v>18</v>
      </c>
      <c r="T3" s="92" t="s">
        <v>296</v>
      </c>
      <c r="U3" s="92" t="s">
        <v>19</v>
      </c>
      <c r="V3" s="92" t="s">
        <v>20</v>
      </c>
      <c r="W3" s="92" t="s">
        <v>21</v>
      </c>
      <c r="X3" s="92" t="s">
        <v>22</v>
      </c>
      <c r="Y3" s="92" t="s">
        <v>23</v>
      </c>
      <c r="Z3" s="92" t="s">
        <v>24</v>
      </c>
      <c r="AA3" s="92" t="s">
        <v>25</v>
      </c>
      <c r="AB3" s="92" t="s">
        <v>26</v>
      </c>
      <c r="AC3" s="92" t="s">
        <v>27</v>
      </c>
      <c r="AD3" s="92" t="s">
        <v>28</v>
      </c>
      <c r="AE3" s="92" t="s">
        <v>29</v>
      </c>
      <c r="AF3" s="92" t="s">
        <v>30</v>
      </c>
      <c r="AG3" s="92" t="s">
        <v>31</v>
      </c>
      <c r="AH3" s="91" t="s">
        <v>32</v>
      </c>
      <c r="AI3" s="92" t="s">
        <v>33</v>
      </c>
    </row>
    <row r="4" spans="1:35" x14ac:dyDescent="0.25">
      <c r="A4" s="2" t="s">
        <v>103</v>
      </c>
      <c r="B4" s="10">
        <v>14252</v>
      </c>
      <c r="C4" s="10">
        <v>124156</v>
      </c>
      <c r="D4" s="10"/>
      <c r="E4" s="10">
        <v>211419</v>
      </c>
      <c r="F4" s="10">
        <v>1077555</v>
      </c>
      <c r="G4" s="10">
        <v>195543</v>
      </c>
      <c r="H4" s="10">
        <v>133201</v>
      </c>
      <c r="I4" s="10">
        <v>93316</v>
      </c>
      <c r="J4" s="10">
        <v>3900</v>
      </c>
      <c r="K4" s="10"/>
      <c r="L4" s="10">
        <v>116138</v>
      </c>
      <c r="M4" s="10">
        <v>140263</v>
      </c>
      <c r="N4" s="10">
        <v>302977</v>
      </c>
      <c r="O4" s="10">
        <v>139533</v>
      </c>
      <c r="P4" s="10">
        <v>544091</v>
      </c>
      <c r="Q4" s="10">
        <v>33604</v>
      </c>
      <c r="R4" s="10">
        <v>211550</v>
      </c>
      <c r="S4" s="10">
        <v>30195</v>
      </c>
      <c r="T4" s="10">
        <v>48622</v>
      </c>
      <c r="U4" s="10">
        <v>128172</v>
      </c>
      <c r="V4" s="10">
        <v>1448991</v>
      </c>
      <c r="W4" s="10">
        <v>1984064</v>
      </c>
      <c r="X4" s="10">
        <v>854863</v>
      </c>
      <c r="Y4" s="10">
        <v>16766</v>
      </c>
      <c r="Z4" s="10">
        <v>345171</v>
      </c>
      <c r="AA4" s="10"/>
      <c r="AB4" s="10">
        <v>133427</v>
      </c>
      <c r="AC4" s="10">
        <v>346743</v>
      </c>
      <c r="AD4" s="10">
        <v>448297</v>
      </c>
      <c r="AE4" s="10">
        <v>238043</v>
      </c>
      <c r="AF4" s="10">
        <v>183747</v>
      </c>
      <c r="AG4" s="10">
        <v>1037674</v>
      </c>
      <c r="AH4" s="10">
        <v>1128396</v>
      </c>
      <c r="AI4" s="10">
        <v>169639</v>
      </c>
    </row>
    <row r="5" spans="1:35" ht="15" customHeight="1" x14ac:dyDescent="0.25">
      <c r="A5" s="2" t="s">
        <v>104</v>
      </c>
      <c r="B5" s="10">
        <v>796156</v>
      </c>
      <c r="C5" s="10">
        <v>468385</v>
      </c>
      <c r="D5" s="10">
        <v>97742311</v>
      </c>
      <c r="E5" s="10">
        <v>758221</v>
      </c>
      <c r="F5" s="10">
        <v>14601238</v>
      </c>
      <c r="G5" s="10">
        <v>7539583</v>
      </c>
      <c r="H5" s="10">
        <v>2050745</v>
      </c>
      <c r="I5" s="10">
        <v>115724</v>
      </c>
      <c r="J5" s="10">
        <v>108276</v>
      </c>
      <c r="K5" s="10">
        <v>1232416.79</v>
      </c>
      <c r="L5" s="10">
        <v>4355188</v>
      </c>
      <c r="M5" s="10">
        <v>3080518</v>
      </c>
      <c r="N5" s="10">
        <v>26029800</v>
      </c>
      <c r="O5" s="10">
        <v>20044370</v>
      </c>
      <c r="P5" s="10">
        <v>14235256</v>
      </c>
      <c r="Q5" s="10">
        <v>106021</v>
      </c>
      <c r="R5" s="10">
        <v>247297</v>
      </c>
      <c r="S5" s="10">
        <v>333263</v>
      </c>
      <c r="T5" s="10">
        <v>42699</v>
      </c>
      <c r="U5" s="10">
        <v>681105</v>
      </c>
      <c r="V5" s="10">
        <v>37887727</v>
      </c>
      <c r="W5" s="10">
        <v>14316967</v>
      </c>
      <c r="X5" s="10">
        <v>13036962</v>
      </c>
      <c r="Y5" s="10">
        <v>190091</v>
      </c>
      <c r="Z5" s="10">
        <v>12978038</v>
      </c>
      <c r="AA5" s="10"/>
      <c r="AB5" s="10">
        <v>146595</v>
      </c>
      <c r="AC5" s="10">
        <v>5742348</v>
      </c>
      <c r="AD5" s="10">
        <v>10023714</v>
      </c>
      <c r="AE5" s="10">
        <v>177596</v>
      </c>
      <c r="AF5" s="10">
        <v>5635</v>
      </c>
      <c r="AG5" s="10">
        <v>10402176</v>
      </c>
      <c r="AH5" s="10">
        <v>7989771</v>
      </c>
      <c r="AI5" s="10">
        <v>6575701</v>
      </c>
    </row>
    <row r="6" spans="1:35" ht="15" customHeight="1" x14ac:dyDescent="0.25">
      <c r="A6" s="2" t="s">
        <v>105</v>
      </c>
      <c r="B6" s="10"/>
      <c r="C6" s="10"/>
      <c r="D6" s="10"/>
      <c r="E6" s="10"/>
      <c r="F6" s="10"/>
      <c r="G6" s="10">
        <v>78815</v>
      </c>
      <c r="H6" s="10"/>
      <c r="I6" s="10"/>
      <c r="J6" s="10"/>
      <c r="K6" s="10"/>
      <c r="L6" s="10"/>
      <c r="M6" s="10"/>
      <c r="N6" s="10"/>
      <c r="O6" s="10">
        <v>1597290</v>
      </c>
      <c r="P6" s="10"/>
      <c r="Q6" s="10"/>
      <c r="S6" s="10">
        <v>865123</v>
      </c>
      <c r="T6" s="10"/>
      <c r="U6" s="10"/>
      <c r="V6" s="10">
        <v>24946470</v>
      </c>
      <c r="W6" s="10">
        <v>819590</v>
      </c>
      <c r="X6" s="10">
        <v>957024</v>
      </c>
      <c r="Y6" s="10"/>
      <c r="Z6" s="10"/>
      <c r="AA6" s="10"/>
      <c r="AB6" s="10"/>
      <c r="AC6" s="10"/>
      <c r="AD6" s="10"/>
      <c r="AE6" s="10">
        <v>447</v>
      </c>
      <c r="AF6" s="10"/>
      <c r="AG6" s="10"/>
      <c r="AH6" s="10">
        <v>5857</v>
      </c>
      <c r="AI6" s="10"/>
    </row>
    <row r="7" spans="1:35" ht="15" customHeight="1" x14ac:dyDescent="0.25">
      <c r="A7" s="2" t="s">
        <v>106</v>
      </c>
      <c r="B7" s="10">
        <v>353476</v>
      </c>
      <c r="C7" s="10">
        <v>74717</v>
      </c>
      <c r="D7" s="10"/>
      <c r="E7" s="10">
        <v>281777</v>
      </c>
      <c r="F7" s="10">
        <v>11298506</v>
      </c>
      <c r="G7" s="10">
        <v>3876907</v>
      </c>
      <c r="H7" s="10">
        <v>5923767</v>
      </c>
      <c r="I7" s="10">
        <v>99944</v>
      </c>
      <c r="J7" s="10">
        <v>32956</v>
      </c>
      <c r="K7" s="10">
        <v>2249267.64</v>
      </c>
      <c r="L7" s="10">
        <v>1032229</v>
      </c>
      <c r="M7" s="10">
        <v>168525</v>
      </c>
      <c r="N7" s="10">
        <v>6964665</v>
      </c>
      <c r="O7" s="10">
        <v>27726913</v>
      </c>
      <c r="P7" s="10">
        <v>6597005</v>
      </c>
      <c r="Q7" s="10">
        <v>216150</v>
      </c>
      <c r="R7" s="10">
        <v>3656726</v>
      </c>
      <c r="S7" s="10">
        <v>2164083</v>
      </c>
      <c r="T7" s="10">
        <v>31062</v>
      </c>
      <c r="U7" s="10">
        <v>94590</v>
      </c>
      <c r="V7" s="10">
        <v>9647429</v>
      </c>
      <c r="W7" s="10">
        <v>10810018</v>
      </c>
      <c r="X7" s="10">
        <v>5513231</v>
      </c>
      <c r="Y7" s="10">
        <v>2659</v>
      </c>
      <c r="Z7" s="10">
        <v>6103640</v>
      </c>
      <c r="AA7" s="10"/>
      <c r="AB7" s="10">
        <v>695169</v>
      </c>
      <c r="AC7" s="10">
        <v>1846718</v>
      </c>
      <c r="AD7" s="10">
        <v>1856461</v>
      </c>
      <c r="AE7" s="10">
        <v>3418267</v>
      </c>
      <c r="AF7" s="10">
        <v>1364292</v>
      </c>
      <c r="AG7" s="10">
        <v>11909700</v>
      </c>
      <c r="AH7" s="10">
        <v>3016795</v>
      </c>
      <c r="AI7" s="10">
        <v>1796597</v>
      </c>
    </row>
    <row r="8" spans="1:35" ht="15" customHeight="1" x14ac:dyDescent="0.25">
      <c r="A8" s="2" t="s">
        <v>107</v>
      </c>
      <c r="B8" s="10"/>
      <c r="C8" s="10">
        <v>510157</v>
      </c>
      <c r="D8" s="10"/>
      <c r="E8" s="10">
        <v>623132</v>
      </c>
      <c r="F8" s="10">
        <v>2879473</v>
      </c>
      <c r="G8" s="10">
        <v>776876</v>
      </c>
      <c r="H8" s="10">
        <v>1123170</v>
      </c>
      <c r="I8" s="10">
        <v>21562</v>
      </c>
      <c r="J8" s="10">
        <v>12288</v>
      </c>
      <c r="K8" s="10">
        <v>356430.28</v>
      </c>
      <c r="L8" s="10">
        <v>1650112</v>
      </c>
      <c r="M8" s="10">
        <v>3696286</v>
      </c>
      <c r="N8" s="10">
        <v>3851748</v>
      </c>
      <c r="O8" s="10">
        <v>5129593</v>
      </c>
      <c r="P8" s="10">
        <v>1324006</v>
      </c>
      <c r="Q8" s="10">
        <v>114955</v>
      </c>
      <c r="R8" s="10">
        <v>290672</v>
      </c>
      <c r="S8" s="10">
        <v>227291</v>
      </c>
      <c r="T8" s="10">
        <v>161829</v>
      </c>
      <c r="U8" s="10">
        <v>68290</v>
      </c>
      <c r="V8" s="10">
        <v>2549631</v>
      </c>
      <c r="W8" s="10">
        <v>7918915</v>
      </c>
      <c r="X8" s="10"/>
      <c r="Y8" s="10">
        <v>5706</v>
      </c>
      <c r="Z8" s="10">
        <v>2801663</v>
      </c>
      <c r="AA8" s="10"/>
      <c r="AB8" s="10">
        <v>357322</v>
      </c>
      <c r="AC8" s="10">
        <v>167365</v>
      </c>
      <c r="AD8" s="10">
        <v>2498742</v>
      </c>
      <c r="AE8" s="10">
        <v>48276</v>
      </c>
      <c r="AF8" s="10">
        <v>99212</v>
      </c>
      <c r="AG8" s="10">
        <v>2098855</v>
      </c>
      <c r="AH8" s="10"/>
      <c r="AI8" s="10">
        <v>32329</v>
      </c>
    </row>
    <row r="9" spans="1:35" ht="15" customHeight="1" x14ac:dyDescent="0.25">
      <c r="A9" s="2" t="s">
        <v>108</v>
      </c>
      <c r="B9" s="10">
        <v>395706</v>
      </c>
      <c r="C9" s="10">
        <v>639118</v>
      </c>
      <c r="D9" s="10">
        <v>1948034</v>
      </c>
      <c r="E9" s="10">
        <v>132346</v>
      </c>
      <c r="F9" s="10">
        <v>4201266</v>
      </c>
      <c r="G9" s="10">
        <v>708097</v>
      </c>
      <c r="H9" s="10">
        <f>75+503688</f>
        <v>503763</v>
      </c>
      <c r="I9" s="10">
        <v>170941</v>
      </c>
      <c r="J9" s="10">
        <v>256980</v>
      </c>
      <c r="K9" s="10">
        <v>235513.04</v>
      </c>
      <c r="L9" s="10">
        <v>1361023</v>
      </c>
      <c r="M9" s="10">
        <v>783573</v>
      </c>
      <c r="N9" s="10">
        <v>4604034</v>
      </c>
      <c r="O9" s="10">
        <v>5579038</v>
      </c>
      <c r="P9" s="10">
        <v>1384231</v>
      </c>
      <c r="Q9" s="10">
        <v>584</v>
      </c>
      <c r="R9" s="10">
        <v>587759</v>
      </c>
      <c r="S9" s="10">
        <v>512616</v>
      </c>
      <c r="T9" s="10">
        <v>77351</v>
      </c>
      <c r="U9" s="10">
        <v>1301557</v>
      </c>
      <c r="V9" s="10">
        <v>12751455</v>
      </c>
      <c r="W9" s="10">
        <v>25332669</v>
      </c>
      <c r="X9" s="10">
        <v>31145529</v>
      </c>
      <c r="Y9" s="10">
        <v>66860</v>
      </c>
      <c r="Z9" s="10">
        <v>3326548</v>
      </c>
      <c r="AA9" s="10"/>
      <c r="AB9" s="10">
        <v>1589503</v>
      </c>
      <c r="AC9" s="10">
        <v>1365540</v>
      </c>
      <c r="AD9" s="10">
        <v>1528397</v>
      </c>
      <c r="AE9" s="10">
        <v>228684</v>
      </c>
      <c r="AF9" s="10">
        <v>1469585</v>
      </c>
      <c r="AG9" s="10">
        <v>4808534</v>
      </c>
      <c r="AH9" s="10">
        <v>19983385</v>
      </c>
      <c r="AI9" s="10">
        <v>569819</v>
      </c>
    </row>
    <row r="10" spans="1:35" ht="15" customHeight="1" x14ac:dyDescent="0.25">
      <c r="A10" s="2" t="s">
        <v>109</v>
      </c>
      <c r="B10" s="10">
        <v>58802</v>
      </c>
      <c r="C10" s="10">
        <v>66030</v>
      </c>
      <c r="D10" s="10"/>
      <c r="E10" s="10"/>
      <c r="F10" s="10"/>
      <c r="G10" s="10"/>
      <c r="H10" s="10"/>
      <c r="I10" s="10"/>
      <c r="J10" s="10">
        <v>17927</v>
      </c>
      <c r="K10" s="10"/>
      <c r="L10" s="10"/>
      <c r="M10" s="10">
        <v>5490</v>
      </c>
      <c r="N10" s="10">
        <v>78252</v>
      </c>
      <c r="O10" s="10">
        <v>75545</v>
      </c>
      <c r="P10" s="10"/>
      <c r="Q10" s="10">
        <v>22928</v>
      </c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>
        <v>158</v>
      </c>
      <c r="AC10" s="10"/>
      <c r="AD10" s="10">
        <v>216127</v>
      </c>
      <c r="AE10" s="10"/>
      <c r="AF10" s="10"/>
      <c r="AG10" s="10"/>
      <c r="AH10" s="10"/>
      <c r="AI10" s="10"/>
    </row>
    <row r="11" spans="1:35" ht="15" customHeight="1" x14ac:dyDescent="0.25">
      <c r="A11" s="2" t="s">
        <v>110</v>
      </c>
      <c r="B11" s="10">
        <v>618163</v>
      </c>
      <c r="C11" s="10">
        <v>720345</v>
      </c>
      <c r="D11" s="10">
        <v>34237385</v>
      </c>
      <c r="E11" s="10">
        <v>2875516</v>
      </c>
      <c r="F11" s="10">
        <v>82429294</v>
      </c>
      <c r="G11" s="10">
        <f>23202738+412333</f>
        <v>23615071</v>
      </c>
      <c r="H11" s="10">
        <v>50656361</v>
      </c>
      <c r="I11" s="10">
        <v>520561</v>
      </c>
      <c r="J11" s="10">
        <v>689584</v>
      </c>
      <c r="K11" s="10">
        <v>62136389.060000002</v>
      </c>
      <c r="L11" s="10">
        <v>20806597</v>
      </c>
      <c r="M11" s="10">
        <v>7590557</v>
      </c>
      <c r="N11" s="10">
        <v>43722559</v>
      </c>
      <c r="O11" s="10">
        <v>176631050</v>
      </c>
      <c r="P11" s="10">
        <v>51222672</v>
      </c>
      <c r="Q11" s="10">
        <v>2164879</v>
      </c>
      <c r="R11" s="10">
        <v>8677892</v>
      </c>
      <c r="S11" s="10">
        <v>10798807</v>
      </c>
      <c r="T11" s="10">
        <v>651380</v>
      </c>
      <c r="U11" s="10">
        <v>1189218</v>
      </c>
      <c r="V11" s="10">
        <v>168768543</v>
      </c>
      <c r="W11" s="10">
        <v>254150301</v>
      </c>
      <c r="X11" s="10">
        <v>138745474</v>
      </c>
      <c r="Y11" s="10">
        <v>1979767</v>
      </c>
      <c r="Z11" s="10">
        <v>59579943</v>
      </c>
      <c r="AA11" s="10"/>
      <c r="AB11" s="10">
        <v>2412613</v>
      </c>
      <c r="AC11" s="10">
        <v>32854448</v>
      </c>
      <c r="AD11" s="10">
        <v>29988325</v>
      </c>
      <c r="AE11" s="10">
        <v>62060704</v>
      </c>
      <c r="AF11" s="10">
        <v>4797708</v>
      </c>
      <c r="AG11" s="10">
        <v>50147899</v>
      </c>
      <c r="AH11" s="10">
        <v>209426175</v>
      </c>
      <c r="AI11" s="10">
        <v>12335311</v>
      </c>
    </row>
    <row r="12" spans="1:35" ht="15" customHeight="1" x14ac:dyDescent="0.25">
      <c r="A12" s="2" t="s">
        <v>111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>
        <v>11940</v>
      </c>
      <c r="AD12" s="10"/>
      <c r="AE12" s="10"/>
      <c r="AF12" s="10"/>
      <c r="AG12" s="10"/>
      <c r="AH12" s="10"/>
      <c r="AI12" s="10"/>
    </row>
    <row r="13" spans="1:35" ht="15" customHeight="1" x14ac:dyDescent="0.25">
      <c r="A13" s="2" t="s">
        <v>112</v>
      </c>
      <c r="B13" s="10"/>
      <c r="C13">
        <v>662</v>
      </c>
      <c r="D13" s="10">
        <v>939137</v>
      </c>
      <c r="E13" s="10">
        <v>28219</v>
      </c>
      <c r="F13" s="10">
        <v>222497</v>
      </c>
      <c r="G13" s="10">
        <v>251955</v>
      </c>
      <c r="H13" s="10"/>
      <c r="I13" s="10"/>
      <c r="J13" s="10"/>
      <c r="K13" s="10">
        <v>16286.19</v>
      </c>
      <c r="L13" s="10">
        <v>63787</v>
      </c>
      <c r="M13" s="10"/>
      <c r="N13" s="10">
        <v>238513</v>
      </c>
      <c r="O13" s="10">
        <v>2334577</v>
      </c>
      <c r="P13" s="10">
        <v>239853</v>
      </c>
      <c r="Q13" s="10">
        <v>1125</v>
      </c>
      <c r="R13" s="10">
        <v>9068</v>
      </c>
      <c r="S13" s="10">
        <v>22042</v>
      </c>
      <c r="T13" s="10">
        <v>7279</v>
      </c>
      <c r="U13" s="10">
        <v>11915</v>
      </c>
      <c r="V13" s="10">
        <v>904605</v>
      </c>
      <c r="W13" s="10">
        <v>1938402</v>
      </c>
      <c r="X13" s="10">
        <v>901768</v>
      </c>
      <c r="Y13" s="10">
        <v>8239</v>
      </c>
      <c r="Z13" s="10"/>
      <c r="AA13" s="10"/>
      <c r="AB13" s="10">
        <v>19904</v>
      </c>
      <c r="AC13" s="10">
        <v>63938</v>
      </c>
      <c r="AD13" s="10">
        <v>42089</v>
      </c>
      <c r="AE13" s="10">
        <v>234206</v>
      </c>
      <c r="AF13" s="10">
        <v>72813</v>
      </c>
      <c r="AG13" s="10">
        <v>299567</v>
      </c>
      <c r="AH13" s="10">
        <v>1878410</v>
      </c>
      <c r="AI13" s="10"/>
    </row>
    <row r="14" spans="1:35" x14ac:dyDescent="0.25">
      <c r="A14" s="2" t="s">
        <v>45</v>
      </c>
      <c r="B14" s="10">
        <f>B15-B13-B12-B11-B10-B9-B8-B7-B6-B5-B4</f>
        <v>103570</v>
      </c>
      <c r="C14" s="10">
        <f t="shared" ref="C14:AI14" si="0">C15-C13-C12-C11-C10-C9-C8-C7-C6-C5-C4</f>
        <v>337235</v>
      </c>
      <c r="D14" s="10">
        <f t="shared" si="0"/>
        <v>38483930</v>
      </c>
      <c r="E14" s="10">
        <f t="shared" si="0"/>
        <v>1001725</v>
      </c>
      <c r="F14" s="10">
        <f t="shared" si="0"/>
        <v>2972662</v>
      </c>
      <c r="G14" s="10">
        <f t="shared" si="0"/>
        <v>3286609</v>
      </c>
      <c r="H14" s="10">
        <f t="shared" si="0"/>
        <v>1974501</v>
      </c>
      <c r="I14" s="10">
        <f t="shared" si="0"/>
        <v>33371</v>
      </c>
      <c r="J14" s="10">
        <f t="shared" si="0"/>
        <v>72210</v>
      </c>
      <c r="K14" s="10">
        <f t="shared" si="0"/>
        <v>446748.02000000281</v>
      </c>
      <c r="L14" s="10">
        <f t="shared" si="0"/>
        <v>661448</v>
      </c>
      <c r="M14" s="10">
        <f t="shared" si="0"/>
        <v>519986</v>
      </c>
      <c r="N14" s="10">
        <f t="shared" si="0"/>
        <v>241844</v>
      </c>
      <c r="O14" s="10">
        <f t="shared" si="0"/>
        <v>3153811</v>
      </c>
      <c r="P14" s="10">
        <f t="shared" si="0"/>
        <v>1053819</v>
      </c>
      <c r="Q14" s="10">
        <f t="shared" si="0"/>
        <v>282521</v>
      </c>
      <c r="R14" s="10">
        <f t="shared" si="0"/>
        <v>591738</v>
      </c>
      <c r="S14" s="10">
        <f t="shared" si="0"/>
        <v>525551</v>
      </c>
      <c r="T14" s="10">
        <f t="shared" si="0"/>
        <v>705916</v>
      </c>
      <c r="U14" s="10">
        <f t="shared" si="0"/>
        <v>350616</v>
      </c>
      <c r="V14" s="10">
        <f t="shared" si="0"/>
        <v>15182741</v>
      </c>
      <c r="W14" s="10">
        <f t="shared" si="0"/>
        <v>748917</v>
      </c>
      <c r="X14" s="10">
        <f t="shared" si="0"/>
        <v>903846</v>
      </c>
      <c r="Y14" s="10">
        <f t="shared" si="0"/>
        <v>24666</v>
      </c>
      <c r="Z14" s="10">
        <f t="shared" si="0"/>
        <v>3225142</v>
      </c>
      <c r="AA14" s="10">
        <f t="shared" si="0"/>
        <v>0</v>
      </c>
      <c r="AB14" s="10">
        <f t="shared" si="0"/>
        <v>536474</v>
      </c>
      <c r="AC14" s="10">
        <f t="shared" si="0"/>
        <v>336352</v>
      </c>
      <c r="AD14" s="10">
        <f t="shared" si="0"/>
        <v>1340510</v>
      </c>
      <c r="AE14" s="10">
        <f t="shared" si="0"/>
        <v>1358714</v>
      </c>
      <c r="AF14" s="10">
        <f t="shared" si="0"/>
        <v>2158652</v>
      </c>
      <c r="AG14" s="10">
        <f t="shared" si="0"/>
        <v>735950</v>
      </c>
      <c r="AH14" s="10">
        <f t="shared" si="0"/>
        <v>1330</v>
      </c>
      <c r="AI14" s="10">
        <f t="shared" si="0"/>
        <v>146419</v>
      </c>
    </row>
    <row r="15" spans="1:35" s="8" customFormat="1" x14ac:dyDescent="0.25">
      <c r="A15" s="3" t="s">
        <v>55</v>
      </c>
      <c r="B15" s="11">
        <v>2340125</v>
      </c>
      <c r="C15" s="11">
        <v>2940805</v>
      </c>
      <c r="D15" s="11">
        <v>173350797</v>
      </c>
      <c r="E15" s="11">
        <v>5912355</v>
      </c>
      <c r="F15" s="11">
        <v>119682491</v>
      </c>
      <c r="G15" s="11">
        <v>40329456</v>
      </c>
      <c r="H15" s="11">
        <v>62365508</v>
      </c>
      <c r="I15" s="11">
        <v>1055419</v>
      </c>
      <c r="J15" s="11">
        <v>1194121</v>
      </c>
      <c r="K15" s="11">
        <v>66673051.020000003</v>
      </c>
      <c r="L15" s="11">
        <v>30046522</v>
      </c>
      <c r="M15" s="11">
        <v>15985198</v>
      </c>
      <c r="N15" s="11">
        <v>86034392</v>
      </c>
      <c r="O15" s="11">
        <v>242411720</v>
      </c>
      <c r="P15" s="11">
        <v>76600933</v>
      </c>
      <c r="Q15" s="11">
        <v>2942767</v>
      </c>
      <c r="R15" s="11">
        <v>14272702</v>
      </c>
      <c r="S15" s="11">
        <v>15478971</v>
      </c>
      <c r="T15" s="11">
        <v>1726138</v>
      </c>
      <c r="U15" s="11">
        <v>3825463</v>
      </c>
      <c r="V15" s="11">
        <v>274087592</v>
      </c>
      <c r="W15" s="11">
        <v>318019843</v>
      </c>
      <c r="X15" s="11">
        <v>192058697</v>
      </c>
      <c r="Y15" s="11">
        <v>2294754</v>
      </c>
      <c r="Z15" s="11">
        <v>88360145</v>
      </c>
      <c r="AA15" s="11"/>
      <c r="AB15" s="11">
        <v>5891165</v>
      </c>
      <c r="AC15" s="11">
        <v>42735392</v>
      </c>
      <c r="AD15" s="11">
        <v>47942662</v>
      </c>
      <c r="AE15" s="11">
        <v>67764937</v>
      </c>
      <c r="AF15" s="11">
        <v>10151644</v>
      </c>
      <c r="AG15" s="11">
        <v>81440355</v>
      </c>
      <c r="AH15" s="11">
        <v>243430119</v>
      </c>
      <c r="AI15" s="11">
        <v>21625815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O17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46.5703125" style="52" bestFit="1" customWidth="1"/>
    <col min="2" max="2" width="12.85546875" style="7" customWidth="1"/>
    <col min="3" max="5" width="12.85546875" style="52" customWidth="1"/>
    <col min="6" max="6" width="12.85546875" style="55" customWidth="1"/>
    <col min="7" max="10" width="12.85546875" style="52" customWidth="1"/>
    <col min="11" max="11" width="12.85546875" style="55" customWidth="1"/>
    <col min="12" max="16" width="12.85546875" style="52" customWidth="1"/>
    <col min="17" max="17" width="12.85546875" style="7" customWidth="1"/>
    <col min="18" max="20" width="12.85546875" style="52" customWidth="1"/>
    <col min="21" max="21" width="12.85546875" style="55" customWidth="1"/>
    <col min="22" max="22" width="12.85546875" style="7" customWidth="1"/>
    <col min="23" max="25" width="12.85546875" style="52" customWidth="1"/>
    <col min="26" max="26" width="12.85546875" style="55" customWidth="1"/>
    <col min="27" max="27" width="12.85546875" style="7" customWidth="1"/>
    <col min="28" max="30" width="12.85546875" style="52" customWidth="1"/>
    <col min="31" max="31" width="12.85546875" style="55" customWidth="1"/>
    <col min="32" max="32" width="12.85546875" style="7" customWidth="1"/>
    <col min="33" max="35" width="12.85546875" style="52" customWidth="1"/>
    <col min="36" max="36" width="12.85546875" style="55" customWidth="1"/>
    <col min="37" max="40" width="12.85546875" style="52" customWidth="1"/>
    <col min="41" max="41" width="12.85546875" style="55" customWidth="1"/>
    <col min="42" max="42" width="12.85546875" style="7" customWidth="1"/>
    <col min="43" max="45" width="12.85546875" style="52" customWidth="1"/>
    <col min="46" max="46" width="12.85546875" style="55" customWidth="1"/>
    <col min="47" max="47" width="12.85546875" style="7" customWidth="1"/>
    <col min="48" max="50" width="12.85546875" style="52" customWidth="1"/>
    <col min="51" max="51" width="12.85546875" style="55" customWidth="1"/>
    <col min="52" max="52" width="12.85546875" style="7" customWidth="1"/>
    <col min="53" max="55" width="12.85546875" style="52" customWidth="1"/>
    <col min="56" max="56" width="12.85546875" style="55" customWidth="1"/>
    <col min="57" max="57" width="12.85546875" style="7" customWidth="1"/>
    <col min="58" max="60" width="12.85546875" style="52" customWidth="1"/>
    <col min="61" max="61" width="12.85546875" style="55" customWidth="1"/>
    <col min="62" max="62" width="12.85546875" style="7" customWidth="1"/>
    <col min="63" max="65" width="12.85546875" style="52" customWidth="1"/>
    <col min="66" max="66" width="12.85546875" style="55" customWidth="1"/>
    <col min="67" max="67" width="12.85546875" style="7" customWidth="1"/>
    <col min="68" max="70" width="12.85546875" style="52" customWidth="1"/>
    <col min="71" max="71" width="12.85546875" style="55" customWidth="1"/>
    <col min="72" max="72" width="12.85546875" style="7" customWidth="1"/>
    <col min="73" max="75" width="12.85546875" style="52" customWidth="1"/>
    <col min="76" max="76" width="12.85546875" style="55" customWidth="1"/>
    <col min="77" max="77" width="12.85546875" style="7" customWidth="1"/>
    <col min="78" max="80" width="12.85546875" style="52" customWidth="1"/>
    <col min="81" max="81" width="12.85546875" style="55" customWidth="1"/>
    <col min="82" max="82" width="12.85546875" style="7" customWidth="1"/>
    <col min="83" max="85" width="12.85546875" style="52" customWidth="1"/>
    <col min="86" max="86" width="12.85546875" style="55" customWidth="1"/>
    <col min="87" max="90" width="12.85546875" style="52" customWidth="1"/>
    <col min="91" max="91" width="12.85546875" style="55" customWidth="1"/>
    <col min="92" max="92" width="12.85546875" style="7" customWidth="1"/>
    <col min="93" max="95" width="12.85546875" style="52" customWidth="1"/>
    <col min="96" max="96" width="12.85546875" style="55" customWidth="1"/>
    <col min="97" max="97" width="12.85546875" style="7" customWidth="1"/>
    <col min="98" max="100" width="12.85546875" style="52" customWidth="1"/>
    <col min="101" max="101" width="12.85546875" style="94" customWidth="1"/>
    <col min="102" max="106" width="12.85546875" style="52" customWidth="1"/>
    <col min="107" max="107" width="12.85546875" style="7" customWidth="1"/>
    <col min="108" max="110" width="12.85546875" style="52" customWidth="1"/>
    <col min="111" max="111" width="12.85546875" style="55" customWidth="1"/>
    <col min="112" max="112" width="12.85546875" style="52" customWidth="1"/>
    <col min="113" max="115" width="12.85546875" style="7" customWidth="1"/>
    <col min="116" max="116" width="12.85546875" style="55" customWidth="1"/>
    <col min="117" max="117" width="12.85546875" style="7" customWidth="1"/>
    <col min="118" max="120" width="12.85546875" style="52" customWidth="1"/>
    <col min="121" max="121" width="12.85546875" style="55" customWidth="1"/>
    <col min="122" max="122" width="12.85546875" style="7" customWidth="1"/>
    <col min="123" max="125" width="12.85546875" style="52" customWidth="1"/>
    <col min="126" max="126" width="12.85546875" style="55" customWidth="1"/>
    <col min="127" max="127" width="12.85546875" style="73" customWidth="1"/>
    <col min="128" max="131" width="12.85546875" style="55" customWidth="1"/>
    <col min="132" max="132" width="12.85546875" style="7" customWidth="1"/>
    <col min="133" max="135" width="12.85546875" style="52" customWidth="1"/>
    <col min="136" max="136" width="12.85546875" style="55" customWidth="1"/>
    <col min="137" max="137" width="12.85546875" style="7" customWidth="1"/>
    <col min="138" max="140" width="12.85546875" style="52" customWidth="1"/>
    <col min="141" max="141" width="12.85546875" style="55" customWidth="1"/>
    <col min="142" max="142" width="12.85546875" style="7" customWidth="1"/>
    <col min="143" max="145" width="12.85546875" style="52" customWidth="1"/>
    <col min="146" max="146" width="12.85546875" style="55" customWidth="1"/>
    <col min="147" max="147" width="12.85546875" style="7" customWidth="1"/>
    <col min="148" max="150" width="12.85546875" style="52" customWidth="1"/>
    <col min="151" max="151" width="12.85546875" style="55" customWidth="1"/>
    <col min="152" max="155" width="12.85546875" style="52" customWidth="1"/>
    <col min="156" max="156" width="12.85546875" style="55" customWidth="1"/>
    <col min="157" max="157" width="12.85546875" style="7" customWidth="1"/>
    <col min="158" max="160" width="12.85546875" style="52" customWidth="1"/>
    <col min="161" max="161" width="12.85546875" style="55" customWidth="1"/>
    <col min="162" max="165" width="12.85546875" style="52" customWidth="1"/>
    <col min="166" max="166" width="12.85546875" style="55" customWidth="1"/>
    <col min="167" max="167" width="12.85546875" style="52" customWidth="1"/>
    <col min="168" max="168" width="12.85546875" style="7" customWidth="1"/>
    <col min="169" max="170" width="12.85546875" style="52" customWidth="1"/>
    <col min="171" max="171" width="12.85546875" style="55" customWidth="1"/>
    <col min="172" max="16384" width="9.140625" style="52"/>
  </cols>
  <sheetData>
    <row r="1" spans="1:171" ht="34.5" x14ac:dyDescent="0.25">
      <c r="A1" s="64" t="s">
        <v>285</v>
      </c>
    </row>
    <row r="2" spans="1:171" x14ac:dyDescent="0.25">
      <c r="A2" s="53" t="s">
        <v>0</v>
      </c>
      <c r="B2" s="120" t="s">
        <v>1</v>
      </c>
      <c r="C2" s="120"/>
      <c r="D2" s="120"/>
      <c r="E2" s="120"/>
      <c r="F2" s="120"/>
      <c r="G2" s="120" t="s">
        <v>2</v>
      </c>
      <c r="H2" s="120"/>
      <c r="I2" s="120"/>
      <c r="J2" s="120"/>
      <c r="K2" s="120"/>
      <c r="L2" s="120" t="s">
        <v>3</v>
      </c>
      <c r="M2" s="120"/>
      <c r="N2" s="120"/>
      <c r="O2" s="120"/>
      <c r="P2" s="120"/>
      <c r="Q2" s="120" t="s">
        <v>307</v>
      </c>
      <c r="R2" s="120"/>
      <c r="S2" s="120"/>
      <c r="T2" s="120"/>
      <c r="U2" s="120"/>
      <c r="V2" s="120" t="s">
        <v>5</v>
      </c>
      <c r="W2" s="120"/>
      <c r="X2" s="120"/>
      <c r="Y2" s="120"/>
      <c r="Z2" s="120"/>
      <c r="AA2" s="120" t="s">
        <v>6</v>
      </c>
      <c r="AB2" s="120"/>
      <c r="AC2" s="120"/>
      <c r="AD2" s="120"/>
      <c r="AE2" s="120"/>
      <c r="AF2" s="120" t="s">
        <v>7</v>
      </c>
      <c r="AG2" s="120"/>
      <c r="AH2" s="120"/>
      <c r="AI2" s="120"/>
      <c r="AJ2" s="120"/>
      <c r="AK2" s="120" t="s">
        <v>8</v>
      </c>
      <c r="AL2" s="120"/>
      <c r="AM2" s="120"/>
      <c r="AN2" s="120"/>
      <c r="AO2" s="120"/>
      <c r="AP2" s="120" t="s">
        <v>9</v>
      </c>
      <c r="AQ2" s="120"/>
      <c r="AR2" s="120"/>
      <c r="AS2" s="120"/>
      <c r="AT2" s="120"/>
      <c r="AU2" s="120" t="s">
        <v>10</v>
      </c>
      <c r="AV2" s="120"/>
      <c r="AW2" s="120"/>
      <c r="AX2" s="120"/>
      <c r="AY2" s="120"/>
      <c r="AZ2" s="120" t="s">
        <v>11</v>
      </c>
      <c r="BA2" s="120"/>
      <c r="BB2" s="120"/>
      <c r="BC2" s="120"/>
      <c r="BD2" s="120"/>
      <c r="BE2" s="120" t="s">
        <v>12</v>
      </c>
      <c r="BF2" s="120"/>
      <c r="BG2" s="120"/>
      <c r="BH2" s="120"/>
      <c r="BI2" s="120"/>
      <c r="BJ2" s="120" t="s">
        <v>13</v>
      </c>
      <c r="BK2" s="120"/>
      <c r="BL2" s="120"/>
      <c r="BM2" s="120"/>
      <c r="BN2" s="120"/>
      <c r="BO2" s="120" t="s">
        <v>14</v>
      </c>
      <c r="BP2" s="120"/>
      <c r="BQ2" s="120"/>
      <c r="BR2" s="120"/>
      <c r="BS2" s="120"/>
      <c r="BT2" s="120" t="s">
        <v>15</v>
      </c>
      <c r="BU2" s="120"/>
      <c r="BV2" s="120"/>
      <c r="BW2" s="120"/>
      <c r="BX2" s="120"/>
      <c r="BY2" s="120" t="s">
        <v>16</v>
      </c>
      <c r="BZ2" s="120"/>
      <c r="CA2" s="120"/>
      <c r="CB2" s="120"/>
      <c r="CC2" s="120"/>
      <c r="CD2" s="120" t="s">
        <v>17</v>
      </c>
      <c r="CE2" s="120"/>
      <c r="CF2" s="120"/>
      <c r="CG2" s="120"/>
      <c r="CH2" s="120"/>
      <c r="CI2" s="120" t="s">
        <v>18</v>
      </c>
      <c r="CJ2" s="120"/>
      <c r="CK2" s="120"/>
      <c r="CL2" s="120"/>
      <c r="CM2" s="120"/>
      <c r="CN2" s="120" t="s">
        <v>296</v>
      </c>
      <c r="CO2" s="120"/>
      <c r="CP2" s="120"/>
      <c r="CQ2" s="120"/>
      <c r="CR2" s="120"/>
      <c r="CS2" s="120" t="s">
        <v>19</v>
      </c>
      <c r="CT2" s="120"/>
      <c r="CU2" s="120"/>
      <c r="CV2" s="120"/>
      <c r="CW2" s="120"/>
      <c r="CX2" s="120" t="s">
        <v>20</v>
      </c>
      <c r="CY2" s="120"/>
      <c r="CZ2" s="120"/>
      <c r="DA2" s="120"/>
      <c r="DB2" s="120"/>
      <c r="DC2" s="120" t="s">
        <v>21</v>
      </c>
      <c r="DD2" s="120"/>
      <c r="DE2" s="120"/>
      <c r="DF2" s="120"/>
      <c r="DG2" s="120"/>
      <c r="DH2" s="120" t="s">
        <v>22</v>
      </c>
      <c r="DI2" s="120"/>
      <c r="DJ2" s="120"/>
      <c r="DK2" s="120"/>
      <c r="DL2" s="120"/>
      <c r="DM2" s="120" t="s">
        <v>23</v>
      </c>
      <c r="DN2" s="120"/>
      <c r="DO2" s="120"/>
      <c r="DP2" s="120"/>
      <c r="DQ2" s="120"/>
      <c r="DR2" s="120" t="s">
        <v>24</v>
      </c>
      <c r="DS2" s="120"/>
      <c r="DT2" s="120"/>
      <c r="DU2" s="120"/>
      <c r="DV2" s="120"/>
      <c r="DW2" s="120" t="s">
        <v>25</v>
      </c>
      <c r="DX2" s="120"/>
      <c r="DY2" s="120"/>
      <c r="DZ2" s="120"/>
      <c r="EA2" s="120"/>
      <c r="EB2" s="120" t="s">
        <v>26</v>
      </c>
      <c r="EC2" s="120"/>
      <c r="ED2" s="120"/>
      <c r="EE2" s="120"/>
      <c r="EF2" s="120"/>
      <c r="EG2" s="120" t="s">
        <v>27</v>
      </c>
      <c r="EH2" s="120"/>
      <c r="EI2" s="120"/>
      <c r="EJ2" s="120"/>
      <c r="EK2" s="120"/>
      <c r="EL2" s="120" t="s">
        <v>28</v>
      </c>
      <c r="EM2" s="120"/>
      <c r="EN2" s="120"/>
      <c r="EO2" s="120"/>
      <c r="EP2" s="120"/>
      <c r="EQ2" s="120" t="s">
        <v>29</v>
      </c>
      <c r="ER2" s="120"/>
      <c r="ES2" s="120"/>
      <c r="ET2" s="120"/>
      <c r="EU2" s="120"/>
      <c r="EV2" s="120" t="s">
        <v>30</v>
      </c>
      <c r="EW2" s="120"/>
      <c r="EX2" s="120"/>
      <c r="EY2" s="120"/>
      <c r="EZ2" s="120"/>
      <c r="FA2" s="120" t="s">
        <v>31</v>
      </c>
      <c r="FB2" s="120"/>
      <c r="FC2" s="120"/>
      <c r="FD2" s="120"/>
      <c r="FE2" s="120"/>
      <c r="FF2" s="120" t="s">
        <v>32</v>
      </c>
      <c r="FG2" s="120"/>
      <c r="FH2" s="120"/>
      <c r="FI2" s="120"/>
      <c r="FJ2" s="120"/>
      <c r="FK2" s="120" t="s">
        <v>33</v>
      </c>
      <c r="FL2" s="120"/>
      <c r="FM2" s="120"/>
      <c r="FN2" s="120"/>
      <c r="FO2" s="120"/>
    </row>
    <row r="3" spans="1:171" x14ac:dyDescent="0.25">
      <c r="A3" s="115" t="s">
        <v>181</v>
      </c>
      <c r="B3" s="118" t="s">
        <v>175</v>
      </c>
      <c r="C3" s="115" t="s">
        <v>176</v>
      </c>
      <c r="D3" s="115"/>
      <c r="E3" s="115"/>
      <c r="F3" s="116" t="s">
        <v>177</v>
      </c>
      <c r="G3" s="115" t="s">
        <v>175</v>
      </c>
      <c r="H3" s="115" t="s">
        <v>176</v>
      </c>
      <c r="I3" s="115"/>
      <c r="J3" s="115"/>
      <c r="K3" s="116" t="s">
        <v>177</v>
      </c>
      <c r="L3" s="115" t="s">
        <v>175</v>
      </c>
      <c r="M3" s="115" t="s">
        <v>176</v>
      </c>
      <c r="N3" s="115"/>
      <c r="O3" s="115"/>
      <c r="P3" s="115" t="s">
        <v>177</v>
      </c>
      <c r="Q3" s="118" t="s">
        <v>175</v>
      </c>
      <c r="R3" s="115" t="s">
        <v>176</v>
      </c>
      <c r="S3" s="115"/>
      <c r="T3" s="115"/>
      <c r="U3" s="116" t="s">
        <v>177</v>
      </c>
      <c r="V3" s="118" t="s">
        <v>175</v>
      </c>
      <c r="W3" s="115" t="s">
        <v>176</v>
      </c>
      <c r="X3" s="115"/>
      <c r="Y3" s="115"/>
      <c r="Z3" s="116" t="s">
        <v>177</v>
      </c>
      <c r="AA3" s="118" t="s">
        <v>175</v>
      </c>
      <c r="AB3" s="115" t="s">
        <v>176</v>
      </c>
      <c r="AC3" s="115"/>
      <c r="AD3" s="115"/>
      <c r="AE3" s="116" t="s">
        <v>177</v>
      </c>
      <c r="AF3" s="118" t="s">
        <v>175</v>
      </c>
      <c r="AG3" s="115" t="s">
        <v>176</v>
      </c>
      <c r="AH3" s="115"/>
      <c r="AI3" s="115"/>
      <c r="AJ3" s="116" t="s">
        <v>177</v>
      </c>
      <c r="AK3" s="115" t="s">
        <v>175</v>
      </c>
      <c r="AL3" s="115" t="s">
        <v>176</v>
      </c>
      <c r="AM3" s="115"/>
      <c r="AN3" s="115"/>
      <c r="AO3" s="116" t="s">
        <v>177</v>
      </c>
      <c r="AP3" s="118" t="s">
        <v>175</v>
      </c>
      <c r="AQ3" s="115" t="s">
        <v>176</v>
      </c>
      <c r="AR3" s="115"/>
      <c r="AS3" s="115"/>
      <c r="AT3" s="116" t="s">
        <v>177</v>
      </c>
      <c r="AU3" s="118" t="s">
        <v>175</v>
      </c>
      <c r="AV3" s="115" t="s">
        <v>176</v>
      </c>
      <c r="AW3" s="115"/>
      <c r="AX3" s="115"/>
      <c r="AY3" s="116" t="s">
        <v>177</v>
      </c>
      <c r="AZ3" s="118" t="s">
        <v>175</v>
      </c>
      <c r="BA3" s="115" t="s">
        <v>176</v>
      </c>
      <c r="BB3" s="115"/>
      <c r="BC3" s="115"/>
      <c r="BD3" s="116" t="s">
        <v>177</v>
      </c>
      <c r="BE3" s="118" t="s">
        <v>175</v>
      </c>
      <c r="BF3" s="115" t="s">
        <v>176</v>
      </c>
      <c r="BG3" s="115"/>
      <c r="BH3" s="115"/>
      <c r="BI3" s="116" t="s">
        <v>177</v>
      </c>
      <c r="BJ3" s="118" t="s">
        <v>175</v>
      </c>
      <c r="BK3" s="115" t="s">
        <v>176</v>
      </c>
      <c r="BL3" s="115"/>
      <c r="BM3" s="115"/>
      <c r="BN3" s="116" t="s">
        <v>177</v>
      </c>
      <c r="BO3" s="118" t="s">
        <v>175</v>
      </c>
      <c r="BP3" s="115" t="s">
        <v>176</v>
      </c>
      <c r="BQ3" s="115"/>
      <c r="BR3" s="115"/>
      <c r="BS3" s="116" t="s">
        <v>177</v>
      </c>
      <c r="BT3" s="118" t="s">
        <v>175</v>
      </c>
      <c r="BU3" s="115" t="s">
        <v>176</v>
      </c>
      <c r="BV3" s="115"/>
      <c r="BW3" s="115"/>
      <c r="BX3" s="116" t="s">
        <v>177</v>
      </c>
      <c r="BY3" s="118" t="s">
        <v>175</v>
      </c>
      <c r="BZ3" s="115" t="s">
        <v>176</v>
      </c>
      <c r="CA3" s="115"/>
      <c r="CB3" s="115"/>
      <c r="CC3" s="116" t="s">
        <v>177</v>
      </c>
      <c r="CD3" s="118" t="s">
        <v>175</v>
      </c>
      <c r="CE3" s="115" t="s">
        <v>176</v>
      </c>
      <c r="CF3" s="115"/>
      <c r="CG3" s="115"/>
      <c r="CH3" s="116" t="s">
        <v>177</v>
      </c>
      <c r="CI3" s="115" t="s">
        <v>175</v>
      </c>
      <c r="CJ3" s="115" t="s">
        <v>176</v>
      </c>
      <c r="CK3" s="115"/>
      <c r="CL3" s="115"/>
      <c r="CM3" s="116" t="s">
        <v>177</v>
      </c>
      <c r="CN3" s="118" t="s">
        <v>175</v>
      </c>
      <c r="CO3" s="115" t="s">
        <v>176</v>
      </c>
      <c r="CP3" s="115"/>
      <c r="CQ3" s="115"/>
      <c r="CR3" s="116" t="s">
        <v>177</v>
      </c>
      <c r="CS3" s="118" t="s">
        <v>175</v>
      </c>
      <c r="CT3" s="115" t="s">
        <v>176</v>
      </c>
      <c r="CU3" s="115"/>
      <c r="CV3" s="115"/>
      <c r="CW3" s="119" t="s">
        <v>177</v>
      </c>
      <c r="CX3" s="115" t="s">
        <v>175</v>
      </c>
      <c r="CY3" s="115" t="s">
        <v>176</v>
      </c>
      <c r="CZ3" s="115"/>
      <c r="DA3" s="115"/>
      <c r="DB3" s="117" t="s">
        <v>177</v>
      </c>
      <c r="DC3" s="118" t="s">
        <v>175</v>
      </c>
      <c r="DD3" s="115" t="s">
        <v>176</v>
      </c>
      <c r="DE3" s="115"/>
      <c r="DF3" s="115"/>
      <c r="DG3" s="116" t="s">
        <v>177</v>
      </c>
      <c r="DH3" s="115" t="s">
        <v>175</v>
      </c>
      <c r="DI3" s="118" t="s">
        <v>176</v>
      </c>
      <c r="DJ3" s="118"/>
      <c r="DK3" s="118"/>
      <c r="DL3" s="116" t="s">
        <v>177</v>
      </c>
      <c r="DM3" s="118" t="s">
        <v>175</v>
      </c>
      <c r="DN3" s="115" t="s">
        <v>176</v>
      </c>
      <c r="DO3" s="115"/>
      <c r="DP3" s="115"/>
      <c r="DQ3" s="116" t="s">
        <v>177</v>
      </c>
      <c r="DR3" s="118" t="s">
        <v>175</v>
      </c>
      <c r="DS3" s="115" t="s">
        <v>176</v>
      </c>
      <c r="DT3" s="115"/>
      <c r="DU3" s="115"/>
      <c r="DV3" s="116" t="s">
        <v>177</v>
      </c>
      <c r="DW3" s="118" t="s">
        <v>175</v>
      </c>
      <c r="DX3" s="115" t="s">
        <v>176</v>
      </c>
      <c r="DY3" s="115"/>
      <c r="DZ3" s="115"/>
      <c r="EA3" s="116" t="s">
        <v>177</v>
      </c>
      <c r="EB3" s="118" t="s">
        <v>175</v>
      </c>
      <c r="EC3" s="115" t="s">
        <v>176</v>
      </c>
      <c r="ED3" s="115"/>
      <c r="EE3" s="115"/>
      <c r="EF3" s="116" t="s">
        <v>177</v>
      </c>
      <c r="EG3" s="118" t="s">
        <v>175</v>
      </c>
      <c r="EH3" s="115" t="s">
        <v>176</v>
      </c>
      <c r="EI3" s="115"/>
      <c r="EJ3" s="115"/>
      <c r="EK3" s="116" t="s">
        <v>177</v>
      </c>
      <c r="EL3" s="118" t="s">
        <v>175</v>
      </c>
      <c r="EM3" s="115" t="s">
        <v>176</v>
      </c>
      <c r="EN3" s="115"/>
      <c r="EO3" s="115"/>
      <c r="EP3" s="116" t="s">
        <v>177</v>
      </c>
      <c r="EQ3" s="118" t="s">
        <v>175</v>
      </c>
      <c r="ER3" s="115" t="s">
        <v>176</v>
      </c>
      <c r="ES3" s="115"/>
      <c r="ET3" s="115"/>
      <c r="EU3" s="116" t="s">
        <v>177</v>
      </c>
      <c r="EV3" s="115" t="s">
        <v>175</v>
      </c>
      <c r="EW3" s="115" t="s">
        <v>176</v>
      </c>
      <c r="EX3" s="115"/>
      <c r="EY3" s="115"/>
      <c r="EZ3" s="116" t="s">
        <v>177</v>
      </c>
      <c r="FA3" s="118" t="s">
        <v>175</v>
      </c>
      <c r="FB3" s="115" t="s">
        <v>176</v>
      </c>
      <c r="FC3" s="115"/>
      <c r="FD3" s="115"/>
      <c r="FE3" s="116" t="s">
        <v>177</v>
      </c>
      <c r="FF3" s="115" t="s">
        <v>175</v>
      </c>
      <c r="FG3" s="115" t="s">
        <v>176</v>
      </c>
      <c r="FH3" s="115"/>
      <c r="FI3" s="115"/>
      <c r="FJ3" s="116" t="s">
        <v>177</v>
      </c>
      <c r="FK3" s="115" t="s">
        <v>175</v>
      </c>
      <c r="FL3" s="115" t="s">
        <v>176</v>
      </c>
      <c r="FM3" s="115"/>
      <c r="FN3" s="115"/>
      <c r="FO3" s="116" t="s">
        <v>177</v>
      </c>
    </row>
    <row r="4" spans="1:171" ht="30" x14ac:dyDescent="0.25">
      <c r="A4" s="115"/>
      <c r="B4" s="118"/>
      <c r="C4" s="22" t="s">
        <v>178</v>
      </c>
      <c r="D4" s="22" t="s">
        <v>179</v>
      </c>
      <c r="E4" s="22" t="s">
        <v>180</v>
      </c>
      <c r="F4" s="116"/>
      <c r="G4" s="115"/>
      <c r="H4" s="22" t="s">
        <v>178</v>
      </c>
      <c r="I4" s="22" t="s">
        <v>179</v>
      </c>
      <c r="J4" s="22" t="s">
        <v>180</v>
      </c>
      <c r="K4" s="116"/>
      <c r="L4" s="115"/>
      <c r="M4" s="22" t="s">
        <v>178</v>
      </c>
      <c r="N4" s="22" t="s">
        <v>179</v>
      </c>
      <c r="O4" s="22" t="s">
        <v>180</v>
      </c>
      <c r="P4" s="115"/>
      <c r="Q4" s="118"/>
      <c r="R4" s="22" t="s">
        <v>178</v>
      </c>
      <c r="S4" s="22" t="s">
        <v>179</v>
      </c>
      <c r="T4" s="22" t="s">
        <v>180</v>
      </c>
      <c r="U4" s="116"/>
      <c r="V4" s="118"/>
      <c r="W4" s="22" t="s">
        <v>178</v>
      </c>
      <c r="X4" s="22" t="s">
        <v>179</v>
      </c>
      <c r="Y4" s="22" t="s">
        <v>180</v>
      </c>
      <c r="Z4" s="116"/>
      <c r="AA4" s="118"/>
      <c r="AB4" s="22" t="s">
        <v>178</v>
      </c>
      <c r="AC4" s="22" t="s">
        <v>179</v>
      </c>
      <c r="AD4" s="22" t="s">
        <v>180</v>
      </c>
      <c r="AE4" s="116"/>
      <c r="AF4" s="118"/>
      <c r="AG4" s="22" t="s">
        <v>178</v>
      </c>
      <c r="AH4" s="22" t="s">
        <v>179</v>
      </c>
      <c r="AI4" s="22" t="s">
        <v>180</v>
      </c>
      <c r="AJ4" s="116"/>
      <c r="AK4" s="115"/>
      <c r="AL4" s="22" t="s">
        <v>178</v>
      </c>
      <c r="AM4" s="22" t="s">
        <v>179</v>
      </c>
      <c r="AN4" s="22" t="s">
        <v>180</v>
      </c>
      <c r="AO4" s="116"/>
      <c r="AP4" s="118"/>
      <c r="AQ4" s="22" t="s">
        <v>178</v>
      </c>
      <c r="AR4" s="22" t="s">
        <v>179</v>
      </c>
      <c r="AS4" s="22" t="s">
        <v>180</v>
      </c>
      <c r="AT4" s="116"/>
      <c r="AU4" s="118"/>
      <c r="AV4" s="22" t="s">
        <v>178</v>
      </c>
      <c r="AW4" s="22" t="s">
        <v>179</v>
      </c>
      <c r="AX4" s="22" t="s">
        <v>180</v>
      </c>
      <c r="AY4" s="116"/>
      <c r="AZ4" s="118"/>
      <c r="BA4" s="22" t="s">
        <v>178</v>
      </c>
      <c r="BB4" s="22" t="s">
        <v>179</v>
      </c>
      <c r="BC4" s="22" t="s">
        <v>180</v>
      </c>
      <c r="BD4" s="116"/>
      <c r="BE4" s="118"/>
      <c r="BF4" s="22" t="s">
        <v>178</v>
      </c>
      <c r="BG4" s="22" t="s">
        <v>179</v>
      </c>
      <c r="BH4" s="22" t="s">
        <v>180</v>
      </c>
      <c r="BI4" s="116"/>
      <c r="BJ4" s="118"/>
      <c r="BK4" s="22" t="s">
        <v>178</v>
      </c>
      <c r="BL4" s="22" t="s">
        <v>179</v>
      </c>
      <c r="BM4" s="22" t="s">
        <v>180</v>
      </c>
      <c r="BN4" s="116"/>
      <c r="BO4" s="118"/>
      <c r="BP4" s="22" t="s">
        <v>178</v>
      </c>
      <c r="BQ4" s="22" t="s">
        <v>179</v>
      </c>
      <c r="BR4" s="22" t="s">
        <v>180</v>
      </c>
      <c r="BS4" s="116"/>
      <c r="BT4" s="118"/>
      <c r="BU4" s="22" t="s">
        <v>178</v>
      </c>
      <c r="BV4" s="22" t="s">
        <v>179</v>
      </c>
      <c r="BW4" s="22" t="s">
        <v>180</v>
      </c>
      <c r="BX4" s="116"/>
      <c r="BY4" s="118"/>
      <c r="BZ4" s="22" t="s">
        <v>178</v>
      </c>
      <c r="CA4" s="22" t="s">
        <v>179</v>
      </c>
      <c r="CB4" s="22" t="s">
        <v>180</v>
      </c>
      <c r="CC4" s="116"/>
      <c r="CD4" s="118"/>
      <c r="CE4" s="22" t="s">
        <v>178</v>
      </c>
      <c r="CF4" s="22" t="s">
        <v>179</v>
      </c>
      <c r="CG4" s="22" t="s">
        <v>180</v>
      </c>
      <c r="CH4" s="116"/>
      <c r="CI4" s="115"/>
      <c r="CJ4" s="22" t="s">
        <v>178</v>
      </c>
      <c r="CK4" s="22" t="s">
        <v>179</v>
      </c>
      <c r="CL4" s="22" t="s">
        <v>180</v>
      </c>
      <c r="CM4" s="116"/>
      <c r="CN4" s="118"/>
      <c r="CO4" s="22" t="s">
        <v>178</v>
      </c>
      <c r="CP4" s="22" t="s">
        <v>179</v>
      </c>
      <c r="CQ4" s="22" t="s">
        <v>180</v>
      </c>
      <c r="CR4" s="116"/>
      <c r="CS4" s="118"/>
      <c r="CT4" s="22" t="s">
        <v>178</v>
      </c>
      <c r="CU4" s="22" t="s">
        <v>179</v>
      </c>
      <c r="CV4" s="22" t="s">
        <v>180</v>
      </c>
      <c r="CW4" s="119"/>
      <c r="CX4" s="115"/>
      <c r="CY4" s="22" t="s">
        <v>178</v>
      </c>
      <c r="CZ4" s="22" t="s">
        <v>179</v>
      </c>
      <c r="DA4" s="22" t="s">
        <v>180</v>
      </c>
      <c r="DB4" s="117"/>
      <c r="DC4" s="118"/>
      <c r="DD4" s="22" t="s">
        <v>178</v>
      </c>
      <c r="DE4" s="22" t="s">
        <v>179</v>
      </c>
      <c r="DF4" s="22" t="s">
        <v>180</v>
      </c>
      <c r="DG4" s="116"/>
      <c r="DH4" s="115"/>
      <c r="DI4" s="78" t="s">
        <v>178</v>
      </c>
      <c r="DJ4" s="78" t="s">
        <v>179</v>
      </c>
      <c r="DK4" s="78" t="s">
        <v>180</v>
      </c>
      <c r="DL4" s="116"/>
      <c r="DM4" s="118"/>
      <c r="DN4" s="22" t="s">
        <v>178</v>
      </c>
      <c r="DO4" s="22" t="s">
        <v>179</v>
      </c>
      <c r="DP4" s="22" t="s">
        <v>180</v>
      </c>
      <c r="DQ4" s="116"/>
      <c r="DR4" s="118"/>
      <c r="DS4" s="22" t="s">
        <v>178</v>
      </c>
      <c r="DT4" s="22" t="s">
        <v>179</v>
      </c>
      <c r="DU4" s="22" t="s">
        <v>180</v>
      </c>
      <c r="DV4" s="116"/>
      <c r="DW4" s="118"/>
      <c r="DX4" s="22" t="s">
        <v>178</v>
      </c>
      <c r="DY4" s="22" t="s">
        <v>179</v>
      </c>
      <c r="DZ4" s="22" t="s">
        <v>180</v>
      </c>
      <c r="EA4" s="116"/>
      <c r="EB4" s="118"/>
      <c r="EC4" s="22" t="s">
        <v>178</v>
      </c>
      <c r="ED4" s="22" t="s">
        <v>179</v>
      </c>
      <c r="EE4" s="22" t="s">
        <v>180</v>
      </c>
      <c r="EF4" s="116"/>
      <c r="EG4" s="118"/>
      <c r="EH4" s="22" t="s">
        <v>178</v>
      </c>
      <c r="EI4" s="22" t="s">
        <v>179</v>
      </c>
      <c r="EJ4" s="22" t="s">
        <v>180</v>
      </c>
      <c r="EK4" s="116"/>
      <c r="EL4" s="118"/>
      <c r="EM4" s="22" t="s">
        <v>178</v>
      </c>
      <c r="EN4" s="22" t="s">
        <v>179</v>
      </c>
      <c r="EO4" s="22" t="s">
        <v>180</v>
      </c>
      <c r="EP4" s="116"/>
      <c r="EQ4" s="118"/>
      <c r="ER4" s="22" t="s">
        <v>178</v>
      </c>
      <c r="ES4" s="22" t="s">
        <v>179</v>
      </c>
      <c r="ET4" s="22" t="s">
        <v>180</v>
      </c>
      <c r="EU4" s="116"/>
      <c r="EV4" s="115"/>
      <c r="EW4" s="22" t="s">
        <v>178</v>
      </c>
      <c r="EX4" s="22" t="s">
        <v>179</v>
      </c>
      <c r="EY4" s="22" t="s">
        <v>180</v>
      </c>
      <c r="EZ4" s="116"/>
      <c r="FA4" s="118"/>
      <c r="FB4" s="22" t="s">
        <v>178</v>
      </c>
      <c r="FC4" s="22" t="s">
        <v>179</v>
      </c>
      <c r="FD4" s="22" t="s">
        <v>180</v>
      </c>
      <c r="FE4" s="116"/>
      <c r="FF4" s="115"/>
      <c r="FG4" s="22" t="s">
        <v>178</v>
      </c>
      <c r="FH4" s="22" t="s">
        <v>179</v>
      </c>
      <c r="FI4" s="22" t="s">
        <v>180</v>
      </c>
      <c r="FJ4" s="116"/>
      <c r="FK4" s="115"/>
      <c r="FL4" s="78" t="s">
        <v>178</v>
      </c>
      <c r="FM4" s="22" t="s">
        <v>179</v>
      </c>
      <c r="FN4" s="22" t="s">
        <v>180</v>
      </c>
      <c r="FO4" s="116"/>
    </row>
    <row r="5" spans="1:171" x14ac:dyDescent="0.25">
      <c r="A5" s="23" t="s">
        <v>182</v>
      </c>
      <c r="B5" s="10"/>
      <c r="C5" s="23"/>
      <c r="D5" s="23"/>
      <c r="E5" s="23"/>
      <c r="F5" s="49"/>
      <c r="G5" s="23"/>
      <c r="H5" s="23"/>
      <c r="I5" s="23"/>
      <c r="J5" s="23"/>
      <c r="K5" s="49"/>
      <c r="L5" s="23"/>
      <c r="M5" s="23"/>
      <c r="N5" s="23"/>
      <c r="O5" s="23"/>
      <c r="P5" s="23"/>
      <c r="Q5" s="10"/>
      <c r="R5" s="23"/>
      <c r="S5" s="23"/>
      <c r="T5" s="23"/>
      <c r="U5" s="49"/>
      <c r="V5" s="10"/>
      <c r="W5" s="23"/>
      <c r="X5" s="23"/>
      <c r="Y5" s="23"/>
      <c r="Z5" s="49"/>
      <c r="AA5" s="10"/>
      <c r="AB5" s="23"/>
      <c r="AC5" s="23"/>
      <c r="AD5" s="23"/>
      <c r="AE5" s="49"/>
      <c r="AF5" s="10"/>
      <c r="AG5" s="23"/>
      <c r="AH5" s="23"/>
      <c r="AI5" s="23"/>
      <c r="AJ5" s="49"/>
      <c r="AK5" s="23"/>
      <c r="AL5" s="23"/>
      <c r="AM5" s="23"/>
      <c r="AN5" s="23"/>
      <c r="AO5" s="49"/>
      <c r="AP5" s="10"/>
      <c r="AQ5" s="23"/>
      <c r="AR5" s="23"/>
      <c r="AS5" s="23"/>
      <c r="AT5" s="49"/>
      <c r="AU5" s="10"/>
      <c r="AV5" s="23"/>
      <c r="AW5" s="23"/>
      <c r="AX5" s="23"/>
      <c r="AY5" s="49"/>
      <c r="AZ5" s="10">
        <v>1</v>
      </c>
      <c r="BA5" s="10">
        <v>6787</v>
      </c>
      <c r="BB5" s="10"/>
      <c r="BC5" s="10"/>
      <c r="BD5" s="49">
        <v>0.01</v>
      </c>
      <c r="BE5" s="10">
        <v>1</v>
      </c>
      <c r="BF5" s="10"/>
      <c r="BG5" s="10"/>
      <c r="BH5" s="10">
        <v>9</v>
      </c>
      <c r="BI5" s="49">
        <v>2.0000000000000001E-4</v>
      </c>
      <c r="BJ5" s="10"/>
      <c r="BK5" s="23"/>
      <c r="BL5" s="23"/>
      <c r="BM5" s="23"/>
      <c r="BN5" s="49"/>
      <c r="BO5" s="10"/>
      <c r="BP5" s="23"/>
      <c r="BQ5" s="23"/>
      <c r="BR5" s="23"/>
      <c r="BS5" s="49"/>
      <c r="BT5" s="10"/>
      <c r="BU5" s="23"/>
      <c r="BV5" s="23"/>
      <c r="BW5" s="23"/>
      <c r="BX5" s="49"/>
      <c r="BY5" s="10"/>
      <c r="BZ5" s="23"/>
      <c r="CA5" s="23"/>
      <c r="CB5" s="23"/>
      <c r="CC5" s="49"/>
      <c r="CD5" s="10"/>
      <c r="CE5" s="23"/>
      <c r="CF5" s="23"/>
      <c r="CG5" s="23"/>
      <c r="CH5" s="49"/>
      <c r="CI5" s="23"/>
      <c r="CJ5" s="23"/>
      <c r="CK5" s="23"/>
      <c r="CL5" s="23"/>
      <c r="CM5" s="49"/>
      <c r="CN5" s="10">
        <v>1</v>
      </c>
      <c r="CO5" s="23">
        <v>811.37</v>
      </c>
      <c r="CP5" s="23">
        <v>4.7</v>
      </c>
      <c r="CQ5" s="23"/>
      <c r="CR5" s="49">
        <v>0.98839999999999995</v>
      </c>
      <c r="CS5" s="10"/>
      <c r="CT5" s="23"/>
      <c r="CU5" s="23"/>
      <c r="CV5" s="23"/>
      <c r="CW5" s="76"/>
      <c r="CX5" s="23"/>
      <c r="CY5" s="23"/>
      <c r="CZ5" s="23"/>
      <c r="DA5" s="23"/>
      <c r="DB5" s="23"/>
      <c r="DC5" s="10"/>
      <c r="DD5" s="23"/>
      <c r="DE5" s="23"/>
      <c r="DF5" s="23"/>
      <c r="DG5" s="49"/>
      <c r="DH5" s="23"/>
      <c r="DI5" s="10"/>
      <c r="DJ5" s="10"/>
      <c r="DK5" s="10"/>
      <c r="DL5" s="49"/>
      <c r="DM5" s="10"/>
      <c r="DN5" s="23"/>
      <c r="DO5" s="23"/>
      <c r="DP5" s="23"/>
      <c r="DQ5" s="49"/>
      <c r="DR5" s="10"/>
      <c r="DS5" s="23"/>
      <c r="DT5" s="23"/>
      <c r="DU5" s="23"/>
      <c r="DV5" s="49"/>
      <c r="DW5" s="74"/>
      <c r="DX5" s="50"/>
      <c r="DY5" s="49"/>
      <c r="DZ5" s="49"/>
      <c r="EA5" s="49"/>
      <c r="EB5" s="10"/>
      <c r="EC5" s="23"/>
      <c r="ED5" s="23"/>
      <c r="EE5" s="23"/>
      <c r="EF5" s="49"/>
      <c r="EG5" s="10"/>
      <c r="EH5" s="23"/>
      <c r="EI5" s="23"/>
      <c r="EJ5" s="23"/>
      <c r="EK5" s="49"/>
      <c r="EL5" s="10"/>
      <c r="EM5" s="23"/>
      <c r="EN5" s="23"/>
      <c r="EO5" s="23"/>
      <c r="EP5" s="49"/>
      <c r="EQ5" s="10"/>
      <c r="ER5" s="23"/>
      <c r="ES5" s="23"/>
      <c r="ET5" s="23"/>
      <c r="EU5" s="49"/>
      <c r="EV5" s="23"/>
      <c r="EW5" s="23"/>
      <c r="EX5" s="23"/>
      <c r="EY5" s="23"/>
      <c r="EZ5" s="49"/>
      <c r="FA5" s="10"/>
      <c r="FB5" s="23"/>
      <c r="FC5" s="23"/>
      <c r="FD5" s="23"/>
      <c r="FE5" s="49"/>
      <c r="FF5" s="23"/>
      <c r="FG5" s="23"/>
      <c r="FH5" s="23"/>
      <c r="FI5" s="23"/>
      <c r="FJ5" s="49"/>
      <c r="FK5" s="23"/>
      <c r="FL5" s="10"/>
      <c r="FM5" s="23"/>
      <c r="FN5" s="23"/>
      <c r="FO5" s="49"/>
    </row>
    <row r="6" spans="1:171" x14ac:dyDescent="0.25">
      <c r="A6" s="23" t="s">
        <v>183</v>
      </c>
      <c r="B6" s="10">
        <v>2</v>
      </c>
      <c r="C6" s="23">
        <v>13479.91</v>
      </c>
      <c r="D6" s="23">
        <v>162</v>
      </c>
      <c r="E6" s="23"/>
      <c r="F6" s="49">
        <v>0.96050000000000002</v>
      </c>
      <c r="G6" s="23"/>
      <c r="H6" s="23"/>
      <c r="I6" s="23"/>
      <c r="J6" s="23"/>
      <c r="K6" s="49"/>
      <c r="L6" s="10">
        <v>7</v>
      </c>
      <c r="M6" s="23">
        <v>88711.16</v>
      </c>
      <c r="N6" s="23">
        <v>3989.95</v>
      </c>
      <c r="O6" s="49">
        <v>0.1545</v>
      </c>
      <c r="P6" s="23"/>
      <c r="Q6" s="10"/>
      <c r="R6" s="23"/>
      <c r="S6" s="23"/>
      <c r="T6" s="23"/>
      <c r="U6" s="49"/>
      <c r="V6" s="10">
        <v>52</v>
      </c>
      <c r="W6" s="23">
        <v>77051.88</v>
      </c>
      <c r="X6" s="23">
        <v>1484.3</v>
      </c>
      <c r="Y6" s="23">
        <v>28327.53</v>
      </c>
      <c r="Z6" s="49">
        <v>0.26569999999999999</v>
      </c>
      <c r="AA6" s="10">
        <v>3</v>
      </c>
      <c r="AB6" s="23">
        <v>2204.9299999999998</v>
      </c>
      <c r="AC6" s="23">
        <v>80.290000000000006</v>
      </c>
      <c r="AD6" s="23"/>
      <c r="AE6" s="49">
        <v>2.53E-2</v>
      </c>
      <c r="AF6" s="10"/>
      <c r="AG6" s="23">
        <v>440.04</v>
      </c>
      <c r="AH6" s="23">
        <v>33.22</v>
      </c>
      <c r="AI6" s="23"/>
      <c r="AJ6" s="49">
        <v>0.11210000000000001</v>
      </c>
      <c r="AK6" s="23"/>
      <c r="AL6" s="23"/>
      <c r="AM6" s="23"/>
      <c r="AN6" s="23"/>
      <c r="AO6" s="49"/>
      <c r="AP6" s="10">
        <v>3</v>
      </c>
      <c r="AQ6" s="23">
        <v>508.69</v>
      </c>
      <c r="AR6" s="23"/>
      <c r="AS6" s="23">
        <v>3.23</v>
      </c>
      <c r="AT6" s="49">
        <v>0.30280000000000001</v>
      </c>
      <c r="AU6" s="10"/>
      <c r="AV6" s="23"/>
      <c r="AW6" s="23"/>
      <c r="AX6" s="23"/>
      <c r="AY6" s="49"/>
      <c r="AZ6" s="10">
        <v>12</v>
      </c>
      <c r="BA6" s="10">
        <v>15220</v>
      </c>
      <c r="BB6" s="10">
        <v>1739</v>
      </c>
      <c r="BC6" s="10">
        <v>1577</v>
      </c>
      <c r="BD6" s="49">
        <v>2.7E-2</v>
      </c>
      <c r="BE6" s="10">
        <v>6</v>
      </c>
      <c r="BF6" s="10">
        <v>12120</v>
      </c>
      <c r="BG6" s="10">
        <v>83</v>
      </c>
      <c r="BH6" s="10">
        <v>154</v>
      </c>
      <c r="BI6" s="49">
        <v>0.23549999999999999</v>
      </c>
      <c r="BJ6" s="10">
        <v>33</v>
      </c>
      <c r="BK6" s="23">
        <v>135080.20000000001</v>
      </c>
      <c r="BL6" s="23">
        <v>5402.2</v>
      </c>
      <c r="BM6" s="23">
        <v>5524.4</v>
      </c>
      <c r="BN6" s="49">
        <v>0.40210000000000001</v>
      </c>
      <c r="BO6" s="10">
        <v>53</v>
      </c>
      <c r="BP6" s="10">
        <v>50035</v>
      </c>
      <c r="BQ6" s="10">
        <v>2374</v>
      </c>
      <c r="BR6" s="10">
        <v>10070</v>
      </c>
      <c r="BS6" s="49">
        <v>0.19819999999999999</v>
      </c>
      <c r="BT6" s="10">
        <v>9</v>
      </c>
      <c r="BU6" s="10">
        <v>13587</v>
      </c>
      <c r="BV6" s="10">
        <v>401</v>
      </c>
      <c r="BW6" s="10">
        <v>344</v>
      </c>
      <c r="BX6" s="49">
        <v>0.05</v>
      </c>
      <c r="BY6" s="10"/>
      <c r="BZ6" s="23"/>
      <c r="CA6" s="23"/>
      <c r="CB6" s="23"/>
      <c r="CC6" s="49"/>
      <c r="CD6" s="10">
        <v>2</v>
      </c>
      <c r="CE6" s="10">
        <v>19</v>
      </c>
      <c r="CF6" s="10">
        <v>5</v>
      </c>
      <c r="CG6" s="10"/>
      <c r="CH6" s="49">
        <v>1.5E-3</v>
      </c>
      <c r="CI6" s="10">
        <v>7</v>
      </c>
      <c r="CJ6" s="10">
        <v>13812</v>
      </c>
      <c r="CK6" s="10">
        <v>149</v>
      </c>
      <c r="CL6" s="10"/>
      <c r="CM6" s="49">
        <v>0.38929999999999998</v>
      </c>
      <c r="CN6" s="10"/>
      <c r="CO6" s="23"/>
      <c r="CP6" s="23"/>
      <c r="CQ6" s="23"/>
      <c r="CR6" s="49"/>
      <c r="CS6" s="10">
        <v>1</v>
      </c>
      <c r="CT6" s="10">
        <v>835</v>
      </c>
      <c r="CU6" s="10"/>
      <c r="CV6" s="23"/>
      <c r="CW6" s="76">
        <v>0.04</v>
      </c>
      <c r="CX6" s="23"/>
      <c r="CY6" s="23"/>
      <c r="CZ6" s="23"/>
      <c r="DA6" s="23"/>
      <c r="DB6" s="23"/>
      <c r="DC6" s="10">
        <v>26</v>
      </c>
      <c r="DD6" s="10">
        <v>966</v>
      </c>
      <c r="DE6" s="10">
        <v>1172</v>
      </c>
      <c r="DF6" s="10">
        <v>1050</v>
      </c>
      <c r="DG6" s="49">
        <v>3.3599999999999998E-2</v>
      </c>
      <c r="DH6" s="23"/>
      <c r="DI6" s="10">
        <v>5021</v>
      </c>
      <c r="DJ6" s="10">
        <v>2090</v>
      </c>
      <c r="DK6" s="10">
        <v>833</v>
      </c>
      <c r="DL6" s="49">
        <v>3.15E-2</v>
      </c>
      <c r="DM6" s="10">
        <v>3</v>
      </c>
      <c r="DN6" s="23"/>
      <c r="DO6" s="23">
        <v>325.83999999999997</v>
      </c>
      <c r="DP6" s="23">
        <v>-2.06</v>
      </c>
      <c r="DQ6" s="49">
        <v>0.1153</v>
      </c>
      <c r="DR6" s="10">
        <v>30</v>
      </c>
      <c r="DS6" s="23">
        <v>5756.15</v>
      </c>
      <c r="DT6" s="23">
        <v>359.65</v>
      </c>
      <c r="DU6" s="23">
        <v>802.06</v>
      </c>
      <c r="DV6" s="49">
        <v>2.3800000000000002E-2</v>
      </c>
      <c r="DW6" s="74"/>
      <c r="DX6" s="49"/>
      <c r="DY6" s="49"/>
      <c r="DZ6" s="49"/>
      <c r="EA6" s="49"/>
      <c r="EB6" s="10"/>
      <c r="EC6" s="23"/>
      <c r="ED6" s="23"/>
      <c r="EE6" s="23"/>
      <c r="EF6" s="49"/>
      <c r="EG6" s="10">
        <v>1</v>
      </c>
      <c r="EH6" s="23"/>
      <c r="EI6" s="23"/>
      <c r="EJ6" s="23">
        <v>1026.43</v>
      </c>
      <c r="EK6" s="49">
        <v>2.3300000000000001E-2</v>
      </c>
      <c r="EL6" s="10">
        <v>7</v>
      </c>
      <c r="EM6" s="23">
        <v>6891.12</v>
      </c>
      <c r="EN6" s="23">
        <v>164.51</v>
      </c>
      <c r="EO6" s="23">
        <v>257.36</v>
      </c>
      <c r="EP6" s="49">
        <v>3.1399999999999997E-2</v>
      </c>
      <c r="EQ6" s="10">
        <v>1</v>
      </c>
      <c r="ER6" s="23">
        <v>2.4</v>
      </c>
      <c r="ES6" s="23"/>
      <c r="ET6" s="23"/>
      <c r="EU6" s="49">
        <v>5.0000000000000001E-4</v>
      </c>
      <c r="EV6" s="23"/>
      <c r="EW6" s="23"/>
      <c r="EX6" s="23"/>
      <c r="EY6" s="23"/>
      <c r="EZ6" s="49"/>
      <c r="FA6" s="10">
        <v>41</v>
      </c>
      <c r="FB6" s="10">
        <v>74787</v>
      </c>
      <c r="FC6" s="10">
        <v>3527</v>
      </c>
      <c r="FD6" s="10">
        <v>5096</v>
      </c>
      <c r="FE6" s="49">
        <v>0.36130000000000001</v>
      </c>
      <c r="FF6" s="10">
        <v>13</v>
      </c>
      <c r="FG6" s="23">
        <v>0.23</v>
      </c>
      <c r="FH6" s="23">
        <v>0.09</v>
      </c>
      <c r="FI6" s="23">
        <v>12.82</v>
      </c>
      <c r="FJ6" s="49">
        <v>4.4999999999999997E-3</v>
      </c>
      <c r="FK6" s="10">
        <v>37</v>
      </c>
      <c r="FL6" s="10">
        <v>14657</v>
      </c>
      <c r="FM6" s="10">
        <v>1879</v>
      </c>
      <c r="FN6" s="10">
        <v>6634</v>
      </c>
      <c r="FO6" s="49">
        <v>0.18509999999999999</v>
      </c>
    </row>
    <row r="7" spans="1:171" x14ac:dyDescent="0.25">
      <c r="A7" s="23" t="s">
        <v>184</v>
      </c>
      <c r="B7" s="10">
        <v>1</v>
      </c>
      <c r="C7" s="23">
        <v>560.91999999999996</v>
      </c>
      <c r="D7" s="23"/>
      <c r="E7" s="23"/>
      <c r="F7" s="49">
        <v>3.95E-2</v>
      </c>
      <c r="G7" s="10">
        <v>4</v>
      </c>
      <c r="H7" s="23">
        <v>4672.5600000000004</v>
      </c>
      <c r="I7" s="23">
        <v>82.28</v>
      </c>
      <c r="J7" s="23">
        <v>-0.46</v>
      </c>
      <c r="K7" s="49">
        <v>0.98709999999999998</v>
      </c>
      <c r="L7" s="10">
        <v>48</v>
      </c>
      <c r="M7" s="23">
        <v>491562.18</v>
      </c>
      <c r="N7" s="23">
        <v>15927.31</v>
      </c>
      <c r="O7" s="49">
        <v>0.84560000000000002</v>
      </c>
      <c r="P7" s="23"/>
      <c r="Q7" s="10">
        <v>3</v>
      </c>
      <c r="R7" s="10">
        <v>28414</v>
      </c>
      <c r="S7" s="10">
        <v>109</v>
      </c>
      <c r="T7" s="10"/>
      <c r="U7" s="49">
        <v>0.76</v>
      </c>
      <c r="V7" s="10">
        <v>330</v>
      </c>
      <c r="W7" s="23">
        <v>241523.46</v>
      </c>
      <c r="X7" s="23">
        <v>11912.43</v>
      </c>
      <c r="Y7" s="23">
        <v>41840.29</v>
      </c>
      <c r="Z7" s="49">
        <v>0.73429999999999995</v>
      </c>
      <c r="AA7" s="10">
        <v>66</v>
      </c>
      <c r="AB7" s="23">
        <v>45924.68</v>
      </c>
      <c r="AC7" s="23">
        <v>3668.09</v>
      </c>
      <c r="AD7" s="23">
        <v>975.84</v>
      </c>
      <c r="AE7" s="49">
        <v>0.56079999999999997</v>
      </c>
      <c r="AF7" s="10"/>
      <c r="AG7" s="23">
        <v>2257.34</v>
      </c>
      <c r="AH7" s="23">
        <v>392.23</v>
      </c>
      <c r="AI7" s="23">
        <v>1099.82</v>
      </c>
      <c r="AJ7" s="49">
        <v>0.88790000000000002</v>
      </c>
      <c r="AK7" s="10">
        <v>5</v>
      </c>
      <c r="AL7" s="23">
        <v>-88.45</v>
      </c>
      <c r="AM7" s="23">
        <v>91.32</v>
      </c>
      <c r="AN7" s="23"/>
      <c r="AO7" s="49">
        <v>8.9999999999999998E-4</v>
      </c>
      <c r="AP7" s="10">
        <v>13</v>
      </c>
      <c r="AQ7" s="23">
        <v>835.91</v>
      </c>
      <c r="AR7" s="23">
        <v>167.23</v>
      </c>
      <c r="AS7" s="23">
        <v>39.61</v>
      </c>
      <c r="AT7" s="49">
        <v>0.61680000000000001</v>
      </c>
      <c r="AU7" s="10">
        <v>6</v>
      </c>
      <c r="AV7" s="36">
        <v>10525.31</v>
      </c>
      <c r="AW7" s="36">
        <v>2578.65</v>
      </c>
      <c r="AX7" s="23"/>
      <c r="AY7" s="49">
        <v>0.58599999999999997</v>
      </c>
      <c r="AZ7" s="10">
        <v>75</v>
      </c>
      <c r="BA7" s="10">
        <v>2202</v>
      </c>
      <c r="BB7" s="10">
        <v>672</v>
      </c>
      <c r="BC7" s="10">
        <v>65</v>
      </c>
      <c r="BD7" s="49">
        <v>0.19420000000000001</v>
      </c>
      <c r="BE7" s="10">
        <v>22</v>
      </c>
      <c r="BF7" s="10">
        <v>39030</v>
      </c>
      <c r="BG7" s="10">
        <v>587</v>
      </c>
      <c r="BH7" s="10">
        <v>485</v>
      </c>
      <c r="BI7" s="49">
        <v>0.76429999999999998</v>
      </c>
      <c r="BJ7" s="10">
        <v>162</v>
      </c>
      <c r="BK7" s="23">
        <v>191091.4</v>
      </c>
      <c r="BL7" s="23">
        <v>6003.6</v>
      </c>
      <c r="BM7" s="23">
        <v>13294.6</v>
      </c>
      <c r="BN7" s="49">
        <v>0.57940000000000003</v>
      </c>
      <c r="BO7" s="10">
        <v>180</v>
      </c>
      <c r="BP7" s="10">
        <v>189213</v>
      </c>
      <c r="BQ7" s="10">
        <v>11675</v>
      </c>
      <c r="BR7" s="10">
        <v>32473</v>
      </c>
      <c r="BS7" s="49">
        <v>0.74039999999999995</v>
      </c>
      <c r="BT7" s="10">
        <v>152</v>
      </c>
      <c r="BU7" s="10">
        <v>218232</v>
      </c>
      <c r="BV7" s="10">
        <v>10236</v>
      </c>
      <c r="BW7" s="10">
        <v>18182</v>
      </c>
      <c r="BX7" s="49">
        <v>0.9</v>
      </c>
      <c r="BY7" s="10">
        <v>4</v>
      </c>
      <c r="BZ7" s="10">
        <v>351</v>
      </c>
      <c r="CA7" s="10">
        <v>108</v>
      </c>
      <c r="CB7" s="23"/>
      <c r="CC7" s="49">
        <v>0.111</v>
      </c>
      <c r="CD7" s="10">
        <v>17</v>
      </c>
      <c r="CE7" s="10">
        <v>13698</v>
      </c>
      <c r="CF7" s="10">
        <v>1925</v>
      </c>
      <c r="CG7" s="10">
        <v>52</v>
      </c>
      <c r="CH7" s="49">
        <v>0.99839999999999995</v>
      </c>
      <c r="CI7" s="10">
        <v>21</v>
      </c>
      <c r="CJ7" s="10">
        <v>20490</v>
      </c>
      <c r="CK7" s="10">
        <v>389</v>
      </c>
      <c r="CL7" s="10">
        <v>587</v>
      </c>
      <c r="CM7" s="49">
        <v>0.59850000000000003</v>
      </c>
      <c r="CN7" s="10">
        <v>1</v>
      </c>
      <c r="CO7" s="23">
        <v>-4.2</v>
      </c>
      <c r="CP7" s="23">
        <v>13.07</v>
      </c>
      <c r="CQ7" s="23">
        <v>0.71</v>
      </c>
      <c r="CR7" s="49">
        <v>1.1599999999999999E-2</v>
      </c>
      <c r="CS7" s="10">
        <v>3</v>
      </c>
      <c r="CT7" s="10">
        <v>18483</v>
      </c>
      <c r="CU7" s="10">
        <v>73</v>
      </c>
      <c r="CV7" s="23"/>
      <c r="CW7" s="76">
        <v>0.96</v>
      </c>
      <c r="CX7" s="23"/>
      <c r="CY7" s="23">
        <v>223845.63</v>
      </c>
      <c r="CZ7" s="23">
        <v>21118.3</v>
      </c>
      <c r="DA7" s="23">
        <v>89204.75</v>
      </c>
      <c r="DB7" s="49">
        <v>0.89959999999999996</v>
      </c>
      <c r="DC7" s="10">
        <v>189</v>
      </c>
      <c r="DD7" s="10">
        <v>7473</v>
      </c>
      <c r="DE7" s="10">
        <v>2899</v>
      </c>
      <c r="DF7" s="10">
        <v>4643</v>
      </c>
      <c r="DG7" s="49">
        <v>0.15820000000000001</v>
      </c>
      <c r="DH7" s="23"/>
      <c r="DI7" s="10">
        <v>5298</v>
      </c>
      <c r="DJ7" s="10">
        <v>7675</v>
      </c>
      <c r="DK7" s="10">
        <v>7907</v>
      </c>
      <c r="DL7" s="49">
        <v>8.2799999999999999E-2</v>
      </c>
      <c r="DM7" s="10">
        <v>5</v>
      </c>
      <c r="DN7" s="23">
        <v>787.18</v>
      </c>
      <c r="DO7" s="23">
        <v>915.16</v>
      </c>
      <c r="DP7" s="23">
        <v>783.11</v>
      </c>
      <c r="DQ7" s="49">
        <v>0.88470000000000004</v>
      </c>
      <c r="DR7" s="10">
        <v>162</v>
      </c>
      <c r="DS7" s="23">
        <v>215477.61</v>
      </c>
      <c r="DT7" s="23">
        <v>8537.39</v>
      </c>
      <c r="DU7" s="23">
        <v>8980.69</v>
      </c>
      <c r="DV7" s="49">
        <v>0.80279999999999996</v>
      </c>
      <c r="DW7" s="74"/>
      <c r="DX7" s="49"/>
      <c r="DY7" s="49"/>
      <c r="DZ7" s="49"/>
      <c r="EA7" s="49"/>
      <c r="EB7" s="10">
        <v>1</v>
      </c>
      <c r="EC7" s="10">
        <v>33369</v>
      </c>
      <c r="ED7" s="10">
        <v>225</v>
      </c>
      <c r="EE7" s="10">
        <v>28255</v>
      </c>
      <c r="EF7" s="49">
        <v>1</v>
      </c>
      <c r="EG7" s="10">
        <v>32</v>
      </c>
      <c r="EH7" s="23">
        <v>16702.28</v>
      </c>
      <c r="EI7" s="23">
        <v>1177.42</v>
      </c>
      <c r="EJ7" s="23">
        <v>177.47</v>
      </c>
      <c r="EK7" s="49">
        <v>0.41039999999999999</v>
      </c>
      <c r="EL7" s="10">
        <v>178</v>
      </c>
      <c r="EM7" s="23">
        <v>204429.92</v>
      </c>
      <c r="EN7" s="23">
        <v>13425.3</v>
      </c>
      <c r="EO7" s="23">
        <v>3407.38</v>
      </c>
      <c r="EP7" s="49">
        <v>0.95120000000000005</v>
      </c>
      <c r="EQ7" s="10">
        <v>6</v>
      </c>
      <c r="ER7" s="23">
        <v>248.07</v>
      </c>
      <c r="ES7" s="23">
        <v>113.11</v>
      </c>
      <c r="ET7" s="23">
        <v>39.520000000000003</v>
      </c>
      <c r="EU7" s="49">
        <v>8.8900000000000007E-2</v>
      </c>
      <c r="EV7" s="10">
        <v>3</v>
      </c>
      <c r="EW7" s="23">
        <v>101951.66</v>
      </c>
      <c r="EX7" s="23">
        <v>263.58</v>
      </c>
      <c r="EY7" s="23"/>
      <c r="EZ7" s="49">
        <v>1</v>
      </c>
      <c r="FA7" s="10">
        <v>166</v>
      </c>
      <c r="FB7" s="10">
        <v>81488</v>
      </c>
      <c r="FC7" s="10">
        <v>4121</v>
      </c>
      <c r="FD7" s="10">
        <v>6048</v>
      </c>
      <c r="FE7" s="49">
        <v>0.39700000000000002</v>
      </c>
      <c r="FF7" s="10">
        <v>282</v>
      </c>
      <c r="FG7" s="23">
        <v>154.38</v>
      </c>
      <c r="FH7" s="23">
        <v>162.47999999999999</v>
      </c>
      <c r="FI7" s="23">
        <v>772.69</v>
      </c>
      <c r="FJ7" s="49">
        <v>0.37459999999999999</v>
      </c>
      <c r="FK7" s="10">
        <v>32</v>
      </c>
      <c r="FL7" s="10">
        <v>91092</v>
      </c>
      <c r="FM7" s="10">
        <v>9334</v>
      </c>
      <c r="FN7" s="10">
        <v>610</v>
      </c>
      <c r="FO7" s="49">
        <v>0.80720000000000003</v>
      </c>
    </row>
    <row r="8" spans="1:171" x14ac:dyDescent="0.25">
      <c r="A8" s="23" t="s">
        <v>185</v>
      </c>
      <c r="B8" s="10"/>
      <c r="C8" s="23"/>
      <c r="D8" s="23"/>
      <c r="E8" s="23"/>
      <c r="F8" s="49"/>
      <c r="G8" s="10">
        <v>1</v>
      </c>
      <c r="H8" s="23"/>
      <c r="I8" s="23">
        <v>62.33</v>
      </c>
      <c r="J8" s="23"/>
      <c r="K8" s="49">
        <v>1.29E-2</v>
      </c>
      <c r="L8" s="10">
        <v>0</v>
      </c>
      <c r="M8" s="23"/>
      <c r="N8" s="23"/>
      <c r="O8" s="23"/>
      <c r="P8" s="23"/>
      <c r="Q8" s="10">
        <v>1</v>
      </c>
      <c r="R8" s="10">
        <v>8754</v>
      </c>
      <c r="S8" s="10">
        <v>341</v>
      </c>
      <c r="T8" s="10"/>
      <c r="U8" s="49">
        <v>0.24</v>
      </c>
      <c r="V8" s="10"/>
      <c r="W8" s="23"/>
      <c r="X8" s="23"/>
      <c r="Y8" s="23"/>
      <c r="Z8" s="49"/>
      <c r="AA8" s="10">
        <v>12</v>
      </c>
      <c r="AB8" s="23">
        <v>34234.620000000003</v>
      </c>
      <c r="AC8" s="23">
        <v>1912.9</v>
      </c>
      <c r="AD8" s="23">
        <v>240.55</v>
      </c>
      <c r="AE8" s="49">
        <v>0.40350000000000003</v>
      </c>
      <c r="AF8" s="10"/>
      <c r="AG8" s="23"/>
      <c r="AH8" s="23"/>
      <c r="AI8" s="23"/>
      <c r="AJ8" s="49"/>
      <c r="AK8" s="10">
        <v>6</v>
      </c>
      <c r="AL8" s="23">
        <v>3060.29</v>
      </c>
      <c r="AM8" s="23">
        <v>270.08</v>
      </c>
      <c r="AN8" s="23"/>
      <c r="AO8" s="49">
        <v>0.99680000000000002</v>
      </c>
      <c r="AP8" s="10">
        <v>12</v>
      </c>
      <c r="AQ8" s="23">
        <v>91.05</v>
      </c>
      <c r="AR8" s="23">
        <v>44.8</v>
      </c>
      <c r="AS8" s="23"/>
      <c r="AT8" s="49">
        <v>8.0399999999999999E-2</v>
      </c>
      <c r="AU8" s="10">
        <v>3</v>
      </c>
      <c r="AV8" s="36">
        <v>8895.3700000000008</v>
      </c>
      <c r="AW8" s="36">
        <v>360.49</v>
      </c>
      <c r="AX8" s="23"/>
      <c r="AY8" s="49">
        <v>0.41389999999999999</v>
      </c>
      <c r="AZ8" s="10">
        <v>13</v>
      </c>
      <c r="BA8" s="10">
        <v>959</v>
      </c>
      <c r="BB8" s="10">
        <v>276</v>
      </c>
      <c r="BC8" s="10">
        <v>97</v>
      </c>
      <c r="BD8" s="49">
        <v>7.8799999999999995E-2</v>
      </c>
      <c r="BE8" s="10"/>
      <c r="BF8" s="23"/>
      <c r="BG8" s="23"/>
      <c r="BH8" s="23"/>
      <c r="BI8" s="49"/>
      <c r="BJ8" s="10">
        <v>3</v>
      </c>
      <c r="BK8" s="23">
        <v>12.7</v>
      </c>
      <c r="BL8" s="23"/>
      <c r="BM8" s="23">
        <v>1.6</v>
      </c>
      <c r="BN8" s="49">
        <v>1E-4</v>
      </c>
      <c r="BO8" s="10">
        <v>2</v>
      </c>
      <c r="BP8" s="10">
        <v>6</v>
      </c>
      <c r="BQ8" s="10">
        <v>0</v>
      </c>
      <c r="BR8" s="10"/>
      <c r="BS8" s="49">
        <v>1E-4</v>
      </c>
      <c r="BT8" s="10">
        <v>25</v>
      </c>
      <c r="BU8" s="10">
        <v>5101</v>
      </c>
      <c r="BV8" s="10">
        <v>465</v>
      </c>
      <c r="BW8" s="10">
        <v>237</v>
      </c>
      <c r="BX8" s="49">
        <v>0.02</v>
      </c>
      <c r="BY8" s="10">
        <v>1</v>
      </c>
      <c r="BZ8" s="10">
        <v>3343</v>
      </c>
      <c r="CA8" s="10">
        <v>277</v>
      </c>
      <c r="CB8" s="10">
        <v>2</v>
      </c>
      <c r="CC8" s="49">
        <v>0.878</v>
      </c>
      <c r="CD8" s="10"/>
      <c r="CE8" s="10"/>
      <c r="CF8" s="10"/>
      <c r="CG8" s="10"/>
      <c r="CH8" s="49"/>
      <c r="CI8" s="10">
        <v>4</v>
      </c>
      <c r="CJ8" s="10">
        <v>2</v>
      </c>
      <c r="CK8" s="10"/>
      <c r="CL8" s="10"/>
      <c r="CM8" s="49"/>
      <c r="CN8" s="10"/>
      <c r="CO8" s="23"/>
      <c r="CP8" s="23"/>
      <c r="CQ8" s="23"/>
      <c r="CR8" s="49"/>
      <c r="CS8" s="10"/>
      <c r="CT8" s="23"/>
      <c r="CU8" s="23"/>
      <c r="CV8" s="23"/>
      <c r="CW8" s="76"/>
      <c r="CX8" s="23"/>
      <c r="CY8" s="23">
        <v>22340.639999999999</v>
      </c>
      <c r="CZ8" s="23">
        <v>5214.17</v>
      </c>
      <c r="DA8" s="23">
        <v>1786.01</v>
      </c>
      <c r="DB8" s="49">
        <v>7.9000000000000001E-2</v>
      </c>
      <c r="DC8" s="10">
        <v>69</v>
      </c>
      <c r="DD8" s="10">
        <v>24813</v>
      </c>
      <c r="DE8" s="10">
        <v>6675</v>
      </c>
      <c r="DF8" s="10">
        <v>44924</v>
      </c>
      <c r="DG8" s="49">
        <v>0.80520000000000003</v>
      </c>
      <c r="DH8" s="23"/>
      <c r="DI8" s="10">
        <v>5</v>
      </c>
      <c r="DJ8" s="10">
        <v>789</v>
      </c>
      <c r="DK8" s="10">
        <v>2</v>
      </c>
      <c r="DL8" s="49">
        <v>3.2000000000000002E-3</v>
      </c>
      <c r="DM8" s="10"/>
      <c r="DN8" s="23"/>
      <c r="DO8" s="23"/>
      <c r="DP8" s="23"/>
      <c r="DQ8" s="49"/>
      <c r="DR8" s="10">
        <v>9</v>
      </c>
      <c r="DS8" s="23">
        <v>4900.2</v>
      </c>
      <c r="DT8" s="23">
        <v>373.63</v>
      </c>
      <c r="DU8" s="23">
        <v>28.65</v>
      </c>
      <c r="DV8" s="49">
        <v>1.83E-2</v>
      </c>
      <c r="DW8" s="74"/>
      <c r="DX8" s="49"/>
      <c r="DY8" s="49"/>
      <c r="DZ8" s="49"/>
      <c r="EA8" s="49"/>
      <c r="EB8" s="10"/>
      <c r="EC8" s="23"/>
      <c r="ED8" s="23"/>
      <c r="EE8" s="23"/>
      <c r="EF8" s="49"/>
      <c r="EG8" s="10">
        <v>14</v>
      </c>
      <c r="EH8" s="23">
        <v>22213.65</v>
      </c>
      <c r="EI8" s="23">
        <v>832.34</v>
      </c>
      <c r="EJ8" s="23">
        <v>1874.53</v>
      </c>
      <c r="EK8" s="49">
        <v>0.56630000000000003</v>
      </c>
      <c r="EL8" s="10"/>
      <c r="EM8" s="23"/>
      <c r="EN8" s="23"/>
      <c r="EO8" s="23"/>
      <c r="EP8" s="49"/>
      <c r="EQ8" s="10">
        <v>6</v>
      </c>
      <c r="ER8" s="23">
        <v>3616.17</v>
      </c>
      <c r="ES8" s="23">
        <v>349.13</v>
      </c>
      <c r="ET8" s="23">
        <v>13.94</v>
      </c>
      <c r="EU8" s="49">
        <v>0.8831</v>
      </c>
      <c r="EV8" s="23"/>
      <c r="EW8" s="23"/>
      <c r="EX8" s="23"/>
      <c r="EY8" s="23"/>
      <c r="EZ8" s="49"/>
      <c r="FA8" s="10">
        <v>1</v>
      </c>
      <c r="FB8" s="10">
        <v>86</v>
      </c>
      <c r="FC8" s="10"/>
      <c r="FD8" s="10"/>
      <c r="FE8" s="49">
        <v>4.0000000000000002E-4</v>
      </c>
      <c r="FF8" s="10">
        <v>38</v>
      </c>
      <c r="FG8" s="23">
        <v>23.78</v>
      </c>
      <c r="FH8" s="23">
        <v>34.81</v>
      </c>
      <c r="FI8" s="23">
        <v>14.71</v>
      </c>
      <c r="FJ8" s="49">
        <v>2.52E-2</v>
      </c>
      <c r="FK8" s="10">
        <v>5</v>
      </c>
      <c r="FL8" s="10">
        <v>118</v>
      </c>
      <c r="FM8" s="10">
        <v>171</v>
      </c>
      <c r="FN8" s="10" t="s">
        <v>310</v>
      </c>
      <c r="FO8" s="49">
        <v>2.3E-3</v>
      </c>
    </row>
    <row r="9" spans="1:171" x14ac:dyDescent="0.25">
      <c r="A9" s="23" t="s">
        <v>186</v>
      </c>
      <c r="B9" s="10"/>
      <c r="C9" s="23"/>
      <c r="D9" s="23"/>
      <c r="E9" s="23"/>
      <c r="F9" s="49"/>
      <c r="G9" s="23"/>
      <c r="H9" s="23"/>
      <c r="I9" s="23"/>
      <c r="J9" s="23"/>
      <c r="K9" s="49"/>
      <c r="L9" s="10">
        <v>3</v>
      </c>
      <c r="M9" s="23">
        <v>-2.89</v>
      </c>
      <c r="N9" s="23"/>
      <c r="O9" s="23"/>
      <c r="P9" s="23"/>
      <c r="Q9" s="10"/>
      <c r="R9" s="23"/>
      <c r="S9" s="23"/>
      <c r="T9" s="23"/>
      <c r="U9" s="49"/>
      <c r="V9" s="10"/>
      <c r="W9" s="23"/>
      <c r="X9" s="23"/>
      <c r="Y9" s="23"/>
      <c r="Z9" s="49"/>
      <c r="AA9" s="10"/>
      <c r="AB9" s="23"/>
      <c r="AC9" s="23"/>
      <c r="AD9" s="23"/>
      <c r="AE9" s="49"/>
      <c r="AF9" s="10"/>
      <c r="AG9" s="23"/>
      <c r="AH9" s="23"/>
      <c r="AI9" s="23"/>
      <c r="AJ9" s="49"/>
      <c r="AK9" s="10">
        <v>2</v>
      </c>
      <c r="AL9" s="23">
        <v>0.04</v>
      </c>
      <c r="AM9" s="23">
        <v>7.83</v>
      </c>
      <c r="AN9" s="23"/>
      <c r="AO9" s="49">
        <v>2.3999999999999998E-3</v>
      </c>
      <c r="AP9" s="10"/>
      <c r="AQ9" s="23"/>
      <c r="AR9" s="23"/>
      <c r="AS9" s="23"/>
      <c r="AT9" s="49"/>
      <c r="AU9" s="10">
        <v>2</v>
      </c>
      <c r="AV9" s="36">
        <v>0.48</v>
      </c>
      <c r="AW9" s="23"/>
      <c r="AX9" s="23"/>
      <c r="AY9" s="49">
        <v>1E-4</v>
      </c>
      <c r="AZ9" s="10"/>
      <c r="BA9" s="10"/>
      <c r="BB9" s="10"/>
      <c r="BC9" s="10"/>
      <c r="BD9" s="49"/>
      <c r="BE9" s="10"/>
      <c r="BF9" s="23"/>
      <c r="BG9" s="23"/>
      <c r="BH9" s="23"/>
      <c r="BI9" s="49"/>
      <c r="BJ9" s="10"/>
      <c r="BK9" s="23"/>
      <c r="BL9" s="23"/>
      <c r="BM9" s="23"/>
      <c r="BN9" s="49"/>
      <c r="BO9" s="10">
        <v>10</v>
      </c>
      <c r="BP9" s="10">
        <v>1169</v>
      </c>
      <c r="BQ9" s="10">
        <v>115</v>
      </c>
      <c r="BR9" s="10">
        <v>477</v>
      </c>
      <c r="BS9" s="49">
        <v>5.5999999999999999E-3</v>
      </c>
      <c r="BT9" s="10"/>
      <c r="BU9" s="10"/>
      <c r="BV9" s="10"/>
      <c r="BW9" s="10"/>
      <c r="BX9" s="49"/>
      <c r="BY9" s="10"/>
      <c r="BZ9" s="23"/>
      <c r="CA9" s="23"/>
      <c r="CB9" s="10"/>
      <c r="CC9" s="49"/>
      <c r="CD9" s="10">
        <v>2</v>
      </c>
      <c r="CE9" s="10">
        <v>1</v>
      </c>
      <c r="CF9" s="10"/>
      <c r="CG9" s="10"/>
      <c r="CH9" s="49">
        <v>1E-4</v>
      </c>
      <c r="CI9" s="10">
        <v>10</v>
      </c>
      <c r="CJ9" s="10">
        <v>355</v>
      </c>
      <c r="CK9" s="10"/>
      <c r="CL9" s="10">
        <v>60</v>
      </c>
      <c r="CM9" s="49">
        <v>1.1599999999999999E-2</v>
      </c>
      <c r="CN9" s="10"/>
      <c r="CO9" s="23"/>
      <c r="CP9" s="23"/>
      <c r="CQ9" s="23"/>
      <c r="CR9" s="49"/>
      <c r="CS9" s="10"/>
      <c r="CT9" s="23"/>
      <c r="CU9" s="23"/>
      <c r="CV9" s="23"/>
      <c r="CW9" s="76"/>
      <c r="CX9" s="23"/>
      <c r="CY9" s="23">
        <v>2324.9</v>
      </c>
      <c r="CZ9" s="23">
        <v>69.97</v>
      </c>
      <c r="DA9" s="23">
        <v>5555.59</v>
      </c>
      <c r="DB9" s="49">
        <v>2.1399999999999999E-2</v>
      </c>
      <c r="DC9" s="10">
        <v>2</v>
      </c>
      <c r="DD9" s="10"/>
      <c r="DE9" s="10"/>
      <c r="DF9" s="10">
        <v>279</v>
      </c>
      <c r="DG9" s="49">
        <v>2.8999999999999998E-3</v>
      </c>
      <c r="DH9" s="23"/>
      <c r="DI9" s="10"/>
      <c r="DJ9" s="10"/>
      <c r="DK9" s="10"/>
      <c r="DL9" s="49"/>
      <c r="DM9" s="10"/>
      <c r="DN9" s="23"/>
      <c r="DO9" s="23"/>
      <c r="DP9" s="23"/>
      <c r="DQ9" s="49"/>
      <c r="DR9" s="10">
        <v>7</v>
      </c>
      <c r="DS9" s="23">
        <v>12439.58</v>
      </c>
      <c r="DT9" s="23">
        <v>663.99</v>
      </c>
      <c r="DU9" s="23">
        <v>346.42</v>
      </c>
      <c r="DV9" s="49">
        <v>4.6300000000000001E-2</v>
      </c>
      <c r="DW9" s="74"/>
      <c r="DX9" s="49"/>
      <c r="DY9" s="49"/>
      <c r="DZ9" s="49"/>
      <c r="EA9" s="49"/>
      <c r="EB9" s="10"/>
      <c r="EC9" s="23"/>
      <c r="ED9" s="23"/>
      <c r="EE9" s="23"/>
      <c r="EF9" s="49"/>
      <c r="EG9" s="10"/>
      <c r="EH9" s="23"/>
      <c r="EI9" s="23"/>
      <c r="EJ9" s="23"/>
      <c r="EK9" s="49"/>
      <c r="EL9" s="10">
        <v>1</v>
      </c>
      <c r="EM9" s="23">
        <v>1602.5</v>
      </c>
      <c r="EN9" s="23">
        <v>270.20999999999998</v>
      </c>
      <c r="EO9" s="23">
        <v>0.65</v>
      </c>
      <c r="EP9" s="49">
        <v>8.0499999999999999E-3</v>
      </c>
      <c r="EQ9" s="10">
        <v>6</v>
      </c>
      <c r="ER9" s="23">
        <v>69.52</v>
      </c>
      <c r="ES9" s="23">
        <v>49.13</v>
      </c>
      <c r="ET9" s="23">
        <v>4.92</v>
      </c>
      <c r="EU9" s="49">
        <v>2.63E-2</v>
      </c>
      <c r="EV9" s="23"/>
      <c r="EW9" s="23"/>
      <c r="EX9" s="23"/>
      <c r="EY9" s="23"/>
      <c r="EZ9" s="49"/>
      <c r="FA9" s="10">
        <v>3</v>
      </c>
      <c r="FB9" s="10">
        <v>3068</v>
      </c>
      <c r="FC9" s="10">
        <v>99</v>
      </c>
      <c r="FD9" s="10">
        <v>76</v>
      </c>
      <c r="FE9" s="49">
        <v>1.4E-2</v>
      </c>
      <c r="FF9" s="10">
        <v>33</v>
      </c>
      <c r="FG9" s="23">
        <v>10.29</v>
      </c>
      <c r="FH9" s="23">
        <v>5.0999999999999996</v>
      </c>
      <c r="FI9" s="23">
        <v>33.46</v>
      </c>
      <c r="FJ9" s="49">
        <v>1.6799999999999999E-2</v>
      </c>
      <c r="FK9" s="10">
        <v>13</v>
      </c>
      <c r="FL9" s="10">
        <v>153</v>
      </c>
      <c r="FM9" s="10">
        <v>297</v>
      </c>
      <c r="FN9" s="10">
        <v>112</v>
      </c>
      <c r="FO9" s="49">
        <v>4.4999999999999997E-3</v>
      </c>
    </row>
    <row r="10" spans="1:171" ht="30" x14ac:dyDescent="0.25">
      <c r="A10" s="24" t="s">
        <v>187</v>
      </c>
      <c r="B10" s="10"/>
      <c r="C10" s="23"/>
      <c r="D10" s="23"/>
      <c r="E10" s="23"/>
      <c r="F10" s="49"/>
      <c r="G10" s="23"/>
      <c r="H10" s="23"/>
      <c r="I10" s="23"/>
      <c r="J10" s="23"/>
      <c r="K10" s="49"/>
      <c r="L10" s="23"/>
      <c r="M10" s="23"/>
      <c r="N10" s="23"/>
      <c r="O10" s="23"/>
      <c r="P10" s="23"/>
      <c r="Q10" s="10"/>
      <c r="R10" s="23"/>
      <c r="S10" s="23"/>
      <c r="T10" s="23"/>
      <c r="U10" s="49"/>
      <c r="V10" s="10"/>
      <c r="W10" s="23"/>
      <c r="X10" s="23"/>
      <c r="Y10" s="23"/>
      <c r="Z10" s="49"/>
      <c r="AA10" s="10">
        <v>11</v>
      </c>
      <c r="AB10" s="23"/>
      <c r="AC10" s="23"/>
      <c r="AD10" s="23">
        <v>932.7</v>
      </c>
      <c r="AE10" s="49">
        <v>1.03E-2</v>
      </c>
      <c r="AF10" s="10"/>
      <c r="AG10" s="23"/>
      <c r="AH10" s="23"/>
      <c r="AI10" s="23"/>
      <c r="AJ10" s="49"/>
      <c r="AK10" s="10"/>
      <c r="AL10" s="23"/>
      <c r="AM10" s="23"/>
      <c r="AN10" s="23"/>
      <c r="AO10" s="49"/>
      <c r="AP10" s="10"/>
      <c r="AQ10" s="23"/>
      <c r="AR10" s="23"/>
      <c r="AS10" s="23"/>
      <c r="AT10" s="49"/>
      <c r="AU10" s="10"/>
      <c r="AV10" s="23"/>
      <c r="AW10" s="23"/>
      <c r="AX10" s="23"/>
      <c r="AY10" s="49"/>
      <c r="AZ10" s="10">
        <v>20</v>
      </c>
      <c r="BA10" s="10">
        <v>56776</v>
      </c>
      <c r="BB10" s="10">
        <v>7458</v>
      </c>
      <c r="BC10" s="10">
        <v>1611</v>
      </c>
      <c r="BD10" s="49">
        <v>0.68989999999999996</v>
      </c>
      <c r="BE10" s="10"/>
      <c r="BF10" s="23"/>
      <c r="BG10" s="23"/>
      <c r="BH10" s="23"/>
      <c r="BI10" s="49"/>
      <c r="BJ10" s="10"/>
      <c r="BK10" s="23"/>
      <c r="BL10" s="23"/>
      <c r="BM10" s="23"/>
      <c r="BN10" s="49"/>
      <c r="BO10" s="10"/>
      <c r="BP10" s="10"/>
      <c r="BQ10" s="10"/>
      <c r="BR10" s="10"/>
      <c r="BS10" s="49"/>
      <c r="BT10" s="10"/>
      <c r="BU10" s="10"/>
      <c r="BV10" s="10"/>
      <c r="BW10" s="10"/>
      <c r="BX10" s="49"/>
      <c r="BY10" s="10"/>
      <c r="BZ10" s="23"/>
      <c r="CA10" s="23"/>
      <c r="CB10" s="10"/>
      <c r="CC10" s="49"/>
      <c r="CD10" s="10"/>
      <c r="CE10" s="23"/>
      <c r="CF10" s="23"/>
      <c r="CG10" s="23"/>
      <c r="CH10" s="49"/>
      <c r="CI10" s="23"/>
      <c r="CJ10" s="10"/>
      <c r="CK10" s="10"/>
      <c r="CL10" s="10"/>
      <c r="CM10" s="49"/>
      <c r="CN10" s="10"/>
      <c r="CO10" s="23"/>
      <c r="CP10" s="23"/>
      <c r="CQ10" s="23"/>
      <c r="CR10" s="49"/>
      <c r="CS10" s="10"/>
      <c r="CT10" s="23"/>
      <c r="CU10" s="23"/>
      <c r="CV10" s="23"/>
      <c r="CW10" s="76"/>
      <c r="CX10" s="23"/>
      <c r="CY10" s="23"/>
      <c r="CZ10" s="23"/>
      <c r="DA10" s="23"/>
      <c r="DB10" s="76"/>
      <c r="DC10" s="10"/>
      <c r="DD10" s="10"/>
      <c r="DE10" s="10"/>
      <c r="DF10" s="10"/>
      <c r="DG10" s="49"/>
      <c r="DH10" s="23"/>
      <c r="DI10" s="10">
        <v>160134</v>
      </c>
      <c r="DJ10" s="10">
        <v>16440</v>
      </c>
      <c r="DK10" s="10">
        <v>12576</v>
      </c>
      <c r="DL10" s="49"/>
      <c r="DM10" s="10"/>
      <c r="DN10" s="23"/>
      <c r="DO10" s="23"/>
      <c r="DP10" s="23"/>
      <c r="DQ10" s="49"/>
      <c r="DR10" s="10"/>
      <c r="DS10" s="23"/>
      <c r="DT10" s="23"/>
      <c r="DU10" s="23"/>
      <c r="DV10" s="49"/>
      <c r="DW10" s="74"/>
      <c r="DX10" s="49"/>
      <c r="DY10" s="49"/>
      <c r="DZ10" s="49"/>
      <c r="EA10" s="49"/>
      <c r="EB10" s="10"/>
      <c r="EC10" s="23"/>
      <c r="ED10" s="23"/>
      <c r="EE10" s="23"/>
      <c r="EF10" s="49"/>
      <c r="EG10" s="10"/>
      <c r="EH10" s="23"/>
      <c r="EI10" s="23"/>
      <c r="EJ10" s="23"/>
      <c r="EK10" s="49"/>
      <c r="EL10" s="10"/>
      <c r="EM10" s="23"/>
      <c r="EN10" s="23"/>
      <c r="EO10" s="23"/>
      <c r="EP10" s="49"/>
      <c r="EQ10" s="10"/>
      <c r="ER10" s="23"/>
      <c r="ES10" s="23"/>
      <c r="ET10" s="23"/>
      <c r="EU10" s="49"/>
      <c r="EV10" s="23"/>
      <c r="EW10" s="23"/>
      <c r="EX10" s="23"/>
      <c r="EY10" s="23"/>
      <c r="EZ10" s="49"/>
      <c r="FA10" s="10"/>
      <c r="FB10" s="10"/>
      <c r="FC10" s="10"/>
      <c r="FD10" s="10"/>
      <c r="FE10" s="49"/>
      <c r="FF10" s="10">
        <v>36</v>
      </c>
      <c r="FG10" s="23">
        <v>872.89</v>
      </c>
      <c r="FH10" s="23">
        <v>229.82</v>
      </c>
      <c r="FI10" s="23">
        <v>581.32000000000005</v>
      </c>
      <c r="FJ10" s="49">
        <v>0.57889999999999997</v>
      </c>
      <c r="FK10" s="10">
        <v>7</v>
      </c>
      <c r="FL10" s="10">
        <v>1</v>
      </c>
      <c r="FM10" s="10">
        <v>84</v>
      </c>
      <c r="FN10" s="10">
        <v>29</v>
      </c>
      <c r="FO10" s="49">
        <v>8.9999999999999998E-4</v>
      </c>
    </row>
    <row r="11" spans="1:171" x14ac:dyDescent="0.25">
      <c r="A11" s="24" t="s">
        <v>45</v>
      </c>
      <c r="B11" s="10"/>
      <c r="C11" s="23"/>
      <c r="D11" s="23"/>
      <c r="E11" s="23"/>
      <c r="F11" s="49"/>
      <c r="G11" s="23"/>
      <c r="H11" s="23"/>
      <c r="I11" s="23"/>
      <c r="J11" s="23"/>
      <c r="K11" s="49"/>
      <c r="L11" s="23"/>
      <c r="M11" s="23"/>
      <c r="N11" s="23"/>
      <c r="O11" s="23"/>
      <c r="P11" s="23"/>
      <c r="Q11" s="10"/>
      <c r="R11" s="23"/>
      <c r="S11" s="23"/>
      <c r="T11" s="23"/>
      <c r="U11" s="49"/>
      <c r="V11" s="10"/>
      <c r="W11" s="23"/>
      <c r="X11" s="23"/>
      <c r="Y11" s="23"/>
      <c r="Z11" s="49"/>
      <c r="AA11" s="10"/>
      <c r="AB11" s="23"/>
      <c r="AC11" s="23"/>
      <c r="AD11" s="23"/>
      <c r="AE11" s="49"/>
      <c r="AF11" s="10"/>
      <c r="AG11" s="23"/>
      <c r="AH11" s="23"/>
      <c r="AI11" s="23"/>
      <c r="AJ11" s="49"/>
      <c r="AK11" s="10"/>
      <c r="AL11" s="23"/>
      <c r="AM11" s="23"/>
      <c r="AN11" s="23"/>
      <c r="AO11" s="49"/>
      <c r="AP11" s="10"/>
      <c r="AQ11" s="23"/>
      <c r="AR11" s="23"/>
      <c r="AS11" s="23"/>
      <c r="AT11" s="49"/>
      <c r="AU11" s="10"/>
      <c r="AV11" s="23"/>
      <c r="AW11" s="23"/>
      <c r="AX11" s="23"/>
      <c r="AY11" s="49"/>
      <c r="AZ11" s="10"/>
      <c r="BA11" s="23"/>
      <c r="BB11" s="23"/>
      <c r="BC11" s="23"/>
      <c r="BD11" s="49"/>
      <c r="BE11" s="10"/>
      <c r="BF11" s="23"/>
      <c r="BG11" s="23"/>
      <c r="BH11" s="23"/>
      <c r="BI11" s="49"/>
      <c r="BJ11" s="10"/>
      <c r="BK11" s="23"/>
      <c r="BL11" s="23"/>
      <c r="BM11" s="23"/>
      <c r="BN11" s="49"/>
      <c r="BO11" s="10"/>
      <c r="BP11" s="10"/>
      <c r="BQ11" s="10"/>
      <c r="BR11" s="10"/>
      <c r="BS11" s="49"/>
      <c r="BT11" s="10"/>
      <c r="BU11" s="10"/>
      <c r="BV11" s="10"/>
      <c r="BW11" s="10"/>
      <c r="BX11" s="49"/>
      <c r="BY11" s="10"/>
      <c r="BZ11" s="23"/>
      <c r="CA11" s="23"/>
      <c r="CB11" s="10"/>
      <c r="CC11" s="49"/>
      <c r="CD11" s="10"/>
      <c r="CE11" s="23"/>
      <c r="CF11" s="23"/>
      <c r="CG11" s="23"/>
      <c r="CH11" s="49"/>
      <c r="CI11" s="23"/>
      <c r="CJ11" s="10"/>
      <c r="CK11" s="10"/>
      <c r="CL11" s="10"/>
      <c r="CM11" s="49"/>
      <c r="CN11" s="10"/>
      <c r="CO11" s="23"/>
      <c r="CP11" s="23"/>
      <c r="CQ11" s="23"/>
      <c r="CR11" s="49"/>
      <c r="CS11" s="10"/>
      <c r="CT11" s="23"/>
      <c r="CU11" s="23"/>
      <c r="CV11" s="23"/>
      <c r="CW11" s="76"/>
      <c r="CX11" s="23"/>
      <c r="CY11" s="23"/>
      <c r="CZ11" s="23"/>
      <c r="DA11" s="23"/>
      <c r="DB11" s="76"/>
      <c r="DC11" s="10"/>
      <c r="DD11" s="23"/>
      <c r="DE11" s="23"/>
      <c r="DF11" s="23"/>
      <c r="DG11" s="49"/>
      <c r="DH11" s="23"/>
      <c r="DI11" s="10">
        <f>DI15-DI5-DI6-DI7-DI8-DI9-DI10-DI12-DI13-DI14</f>
        <v>27955</v>
      </c>
      <c r="DJ11" s="10">
        <f t="shared" ref="DJ11:DL11" si="0">DJ15-DJ5-DJ6-DJ7-DJ8-DJ9-DJ10-DJ12-DJ13-DJ14</f>
        <v>3081</v>
      </c>
      <c r="DK11" s="10">
        <f t="shared" si="0"/>
        <v>190</v>
      </c>
      <c r="DL11" s="49">
        <f t="shared" si="0"/>
        <v>0.12390000000000011</v>
      </c>
      <c r="DM11" s="10"/>
      <c r="DN11" s="23"/>
      <c r="DO11" s="23"/>
      <c r="DP11" s="23"/>
      <c r="DQ11" s="49"/>
      <c r="DR11" s="10"/>
      <c r="DS11" s="23"/>
      <c r="DT11" s="23"/>
      <c r="DU11" s="23"/>
      <c r="DV11" s="49"/>
      <c r="DW11" s="74"/>
      <c r="DX11" s="49"/>
      <c r="DY11" s="49"/>
      <c r="DZ11" s="49"/>
      <c r="EA11" s="49"/>
      <c r="EB11" s="10"/>
      <c r="EC11" s="23"/>
      <c r="ED11" s="23"/>
      <c r="EE11" s="23"/>
      <c r="EF11" s="49"/>
      <c r="EG11" s="10"/>
      <c r="EH11" s="23"/>
      <c r="EI11" s="23"/>
      <c r="EJ11" s="23"/>
      <c r="EK11" s="49"/>
      <c r="EL11" s="10"/>
      <c r="EM11" s="23"/>
      <c r="EN11" s="23"/>
      <c r="EO11" s="23"/>
      <c r="EP11" s="49"/>
      <c r="EQ11" s="10"/>
      <c r="ER11" s="23"/>
      <c r="ES11" s="23"/>
      <c r="ET11" s="23"/>
      <c r="EU11" s="49"/>
      <c r="EV11" s="23"/>
      <c r="EW11" s="23"/>
      <c r="EX11" s="23"/>
      <c r="EY11" s="23"/>
      <c r="EZ11" s="49"/>
      <c r="FA11" s="10"/>
      <c r="FB11" s="10"/>
      <c r="FC11" s="10"/>
      <c r="FD11" s="10"/>
      <c r="FE11" s="49"/>
      <c r="FF11" s="23"/>
      <c r="FG11" s="23"/>
      <c r="FH11" s="23"/>
      <c r="FI11" s="23"/>
      <c r="FJ11" s="49"/>
      <c r="FK11" s="23"/>
      <c r="FL11" s="10"/>
      <c r="FM11" s="23"/>
      <c r="FN11" s="23"/>
      <c r="FO11" s="49"/>
    </row>
    <row r="12" spans="1:171" x14ac:dyDescent="0.25">
      <c r="A12" s="24" t="s">
        <v>188</v>
      </c>
      <c r="B12" s="10"/>
      <c r="C12" s="23"/>
      <c r="D12" s="23"/>
      <c r="E12" s="23"/>
      <c r="F12" s="49"/>
      <c r="G12" s="23"/>
      <c r="H12" s="23"/>
      <c r="I12" s="23"/>
      <c r="J12" s="23"/>
      <c r="K12" s="49"/>
      <c r="L12" s="23"/>
      <c r="M12" s="23"/>
      <c r="N12" s="23"/>
      <c r="O12" s="23"/>
      <c r="P12" s="23"/>
      <c r="Q12" s="10"/>
      <c r="R12" s="23"/>
      <c r="S12" s="23"/>
      <c r="T12" s="23"/>
      <c r="U12" s="49"/>
      <c r="V12" s="10"/>
      <c r="W12" s="23"/>
      <c r="X12" s="23"/>
      <c r="Y12" s="23"/>
      <c r="Z12" s="49"/>
      <c r="AA12" s="10"/>
      <c r="AB12" s="23"/>
      <c r="AC12" s="23"/>
      <c r="AD12" s="23"/>
      <c r="AE12" s="49"/>
      <c r="AF12" s="10"/>
      <c r="AG12" s="23"/>
      <c r="AH12" s="23"/>
      <c r="AI12" s="23"/>
      <c r="AJ12" s="49"/>
      <c r="AK12" s="10"/>
      <c r="AL12" s="23"/>
      <c r="AM12" s="23"/>
      <c r="AN12" s="23"/>
      <c r="AO12" s="49"/>
      <c r="AP12" s="10"/>
      <c r="AQ12" s="23"/>
      <c r="AR12" s="23"/>
      <c r="AS12" s="23"/>
      <c r="AT12" s="49"/>
      <c r="AU12" s="10"/>
      <c r="AV12" s="23"/>
      <c r="AW12" s="23"/>
      <c r="AX12" s="23"/>
      <c r="AY12" s="49"/>
      <c r="AZ12" s="10"/>
      <c r="BA12" s="23"/>
      <c r="BB12" s="23"/>
      <c r="BC12" s="23"/>
      <c r="BD12" s="49"/>
      <c r="BE12" s="10"/>
      <c r="BF12" s="23"/>
      <c r="BG12" s="23"/>
      <c r="BH12" s="23"/>
      <c r="BI12" s="49"/>
      <c r="BJ12" s="10"/>
      <c r="BK12" s="23"/>
      <c r="BL12" s="23"/>
      <c r="BM12" s="23"/>
      <c r="BN12" s="49"/>
      <c r="BO12" s="10">
        <v>18</v>
      </c>
      <c r="BP12" s="10">
        <v>555</v>
      </c>
      <c r="BQ12" s="10">
        <v>9</v>
      </c>
      <c r="BR12" s="10">
        <v>16996</v>
      </c>
      <c r="BS12" s="49">
        <v>5.57E-2</v>
      </c>
      <c r="BT12" s="10"/>
      <c r="BU12" s="10"/>
      <c r="BV12" s="10"/>
      <c r="BW12" s="10"/>
      <c r="BX12" s="49"/>
      <c r="BY12" s="10"/>
      <c r="BZ12" s="23"/>
      <c r="CA12" s="23"/>
      <c r="CB12" s="10"/>
      <c r="CC12" s="49"/>
      <c r="CD12" s="10"/>
      <c r="CE12" s="23"/>
      <c r="CF12" s="23"/>
      <c r="CG12" s="23"/>
      <c r="CH12" s="49"/>
      <c r="CI12" s="23"/>
      <c r="CJ12" s="10"/>
      <c r="CK12" s="10"/>
      <c r="CL12" s="10"/>
      <c r="CM12" s="49"/>
      <c r="CN12" s="10"/>
      <c r="CO12" s="23"/>
      <c r="CP12" s="23"/>
      <c r="CQ12" s="23"/>
      <c r="CR12" s="49"/>
      <c r="CS12" s="10"/>
      <c r="CT12" s="23"/>
      <c r="CU12" s="23"/>
      <c r="CV12" s="23"/>
      <c r="CW12" s="76"/>
      <c r="CX12" s="23"/>
      <c r="CY12" s="23"/>
      <c r="CZ12" s="23"/>
      <c r="DA12" s="23"/>
      <c r="DB12" s="76"/>
      <c r="DC12" s="10"/>
      <c r="DD12" s="23"/>
      <c r="DE12" s="23"/>
      <c r="DF12" s="23"/>
      <c r="DG12" s="49"/>
      <c r="DH12" s="23"/>
      <c r="DI12" s="10"/>
      <c r="DJ12" s="10"/>
      <c r="DK12" s="10"/>
      <c r="DL12" s="49"/>
      <c r="DM12" s="10"/>
      <c r="DN12" s="23"/>
      <c r="DO12" s="23"/>
      <c r="DP12" s="23"/>
      <c r="DQ12" s="49"/>
      <c r="DR12" s="10"/>
      <c r="DS12" s="23"/>
      <c r="DT12" s="23"/>
      <c r="DU12" s="23"/>
      <c r="DV12" s="49"/>
      <c r="DW12" s="74"/>
      <c r="DX12" s="49"/>
      <c r="DY12" s="49"/>
      <c r="DZ12" s="49"/>
      <c r="EA12" s="49"/>
      <c r="EB12" s="10"/>
      <c r="EC12" s="23"/>
      <c r="ED12" s="23"/>
      <c r="EE12" s="23"/>
      <c r="EF12" s="49"/>
      <c r="EG12" s="10"/>
      <c r="EH12" s="23"/>
      <c r="EI12" s="23"/>
      <c r="EJ12" s="23"/>
      <c r="EK12" s="49"/>
      <c r="EL12" s="10"/>
      <c r="EM12" s="23"/>
      <c r="EN12" s="23"/>
      <c r="EO12" s="23"/>
      <c r="EP12" s="49"/>
      <c r="EQ12" s="10"/>
      <c r="ER12" s="23"/>
      <c r="ES12" s="23"/>
      <c r="ET12" s="23"/>
      <c r="EU12" s="49"/>
      <c r="EV12" s="23"/>
      <c r="EW12" s="23"/>
      <c r="EX12" s="23"/>
      <c r="EY12" s="23"/>
      <c r="EZ12" s="49"/>
      <c r="FA12" s="10"/>
      <c r="FB12" s="10"/>
      <c r="FC12" s="10"/>
      <c r="FD12" s="10"/>
      <c r="FE12" s="49"/>
      <c r="FF12" s="23"/>
      <c r="FG12" s="23"/>
      <c r="FH12" s="23"/>
      <c r="FI12" s="23"/>
      <c r="FJ12" s="49"/>
      <c r="FK12" s="23"/>
      <c r="FL12" s="10"/>
      <c r="FM12" s="23"/>
      <c r="FN12" s="23"/>
      <c r="FO12" s="49"/>
    </row>
    <row r="13" spans="1:171" x14ac:dyDescent="0.25">
      <c r="A13" s="23" t="s">
        <v>189</v>
      </c>
      <c r="B13" s="10"/>
      <c r="C13" s="23"/>
      <c r="D13" s="23"/>
      <c r="E13" s="23"/>
      <c r="F13" s="49"/>
      <c r="G13" s="23"/>
      <c r="H13" s="23"/>
      <c r="I13" s="23"/>
      <c r="J13" s="23"/>
      <c r="K13" s="49"/>
      <c r="L13" s="23"/>
      <c r="M13" s="23"/>
      <c r="N13" s="23"/>
      <c r="O13" s="23"/>
      <c r="P13" s="23"/>
      <c r="Q13" s="10"/>
      <c r="R13" s="23"/>
      <c r="S13" s="23"/>
      <c r="T13" s="23"/>
      <c r="U13" s="49"/>
      <c r="V13" s="10"/>
      <c r="W13" s="23"/>
      <c r="X13" s="23"/>
      <c r="Y13" s="23"/>
      <c r="Z13" s="49"/>
      <c r="AA13" s="10"/>
      <c r="AB13" s="23"/>
      <c r="AC13" s="23"/>
      <c r="AD13" s="23"/>
      <c r="AE13" s="49"/>
      <c r="AF13" s="10"/>
      <c r="AG13" s="23"/>
      <c r="AH13" s="23"/>
      <c r="AI13" s="23"/>
      <c r="AJ13" s="49"/>
      <c r="AK13" s="10"/>
      <c r="AL13" s="23"/>
      <c r="AM13" s="23"/>
      <c r="AN13" s="23"/>
      <c r="AO13" s="49"/>
      <c r="AP13" s="10"/>
      <c r="AQ13" s="23"/>
      <c r="AR13" s="23"/>
      <c r="AS13" s="23"/>
      <c r="AT13" s="49"/>
      <c r="AU13" s="10"/>
      <c r="AV13" s="23"/>
      <c r="AW13" s="23"/>
      <c r="AX13" s="23"/>
      <c r="AY13" s="49"/>
      <c r="AZ13" s="10"/>
      <c r="BA13" s="23"/>
      <c r="BB13" s="23"/>
      <c r="BC13" s="23"/>
      <c r="BD13" s="49"/>
      <c r="BE13" s="10"/>
      <c r="BF13" s="23"/>
      <c r="BG13" s="23"/>
      <c r="BH13" s="23"/>
      <c r="BI13" s="49"/>
      <c r="BJ13" s="10">
        <v>17</v>
      </c>
      <c r="BK13" s="23"/>
      <c r="BL13" s="23"/>
      <c r="BM13" s="23">
        <v>6699.1</v>
      </c>
      <c r="BN13" s="49">
        <v>1.84E-2</v>
      </c>
      <c r="BO13" s="10"/>
      <c r="BP13" s="23"/>
      <c r="BQ13" s="23"/>
      <c r="BR13" s="23"/>
      <c r="BS13" s="49"/>
      <c r="BT13" s="10">
        <v>16</v>
      </c>
      <c r="BU13" s="10">
        <v>21</v>
      </c>
      <c r="BV13" s="10">
        <v>2</v>
      </c>
      <c r="BW13" s="10">
        <v>6659</v>
      </c>
      <c r="BX13" s="49">
        <v>0.02</v>
      </c>
      <c r="BY13" s="10">
        <v>4</v>
      </c>
      <c r="BZ13" s="23"/>
      <c r="CA13" s="23"/>
      <c r="CB13" s="10">
        <v>46</v>
      </c>
      <c r="CC13" s="49">
        <v>1.0999999999999999E-2</v>
      </c>
      <c r="CD13" s="10"/>
      <c r="CE13" s="23"/>
      <c r="CF13" s="23"/>
      <c r="CG13" s="23"/>
      <c r="CH13" s="49"/>
      <c r="CI13" s="10">
        <v>4</v>
      </c>
      <c r="CJ13" s="10"/>
      <c r="CK13" s="10"/>
      <c r="CL13" s="10">
        <v>22</v>
      </c>
      <c r="CM13" s="49">
        <v>5.9999999999999995E-4</v>
      </c>
      <c r="CN13" s="10"/>
      <c r="CO13" s="23"/>
      <c r="CP13" s="23"/>
      <c r="CQ13" s="23"/>
      <c r="CR13" s="49"/>
      <c r="CS13" s="10"/>
      <c r="CT13" s="23"/>
      <c r="CU13" s="23"/>
      <c r="CV13" s="23"/>
      <c r="CW13" s="76"/>
      <c r="CX13" s="23"/>
      <c r="CY13" s="23"/>
      <c r="CZ13" s="23"/>
      <c r="DA13" s="23"/>
      <c r="DB13" s="76"/>
      <c r="DC13" s="10"/>
      <c r="DD13" s="23"/>
      <c r="DE13" s="23"/>
      <c r="DF13" s="23"/>
      <c r="DG13" s="49"/>
      <c r="DH13" s="23"/>
      <c r="DI13" s="10"/>
      <c r="DJ13" s="10"/>
      <c r="DK13" s="10"/>
      <c r="DL13" s="49">
        <v>0.75039999999999996</v>
      </c>
      <c r="DM13" s="10"/>
      <c r="DN13" s="23"/>
      <c r="DO13" s="23"/>
      <c r="DP13" s="23"/>
      <c r="DQ13" s="49"/>
      <c r="DR13" s="10">
        <v>27</v>
      </c>
      <c r="DS13" s="23">
        <v>19992.240000000002</v>
      </c>
      <c r="DT13" s="23">
        <v>1209.21</v>
      </c>
      <c r="DU13" s="23">
        <v>10375.34</v>
      </c>
      <c r="DV13" s="49">
        <v>0.10879999999999999</v>
      </c>
      <c r="DW13" s="74"/>
      <c r="DX13" s="49"/>
      <c r="DY13" s="49"/>
      <c r="DZ13" s="49"/>
      <c r="EA13" s="49"/>
      <c r="EB13" s="10">
        <v>1</v>
      </c>
      <c r="EC13" s="23"/>
      <c r="ED13" s="23"/>
      <c r="EE13" s="23"/>
      <c r="EF13" s="49"/>
      <c r="EG13" s="10"/>
      <c r="EH13" s="23"/>
      <c r="EI13" s="23"/>
      <c r="EJ13" s="23"/>
      <c r="EK13" s="49"/>
      <c r="EL13" s="10">
        <v>15</v>
      </c>
      <c r="EM13" s="23"/>
      <c r="EN13" s="23"/>
      <c r="EO13" s="23">
        <v>2174.9499999999998</v>
      </c>
      <c r="EP13" s="49">
        <v>9.2999999999999992E-3</v>
      </c>
      <c r="EQ13" s="10"/>
      <c r="ER13" s="23"/>
      <c r="ES13" s="23"/>
      <c r="ET13" s="23"/>
      <c r="EU13" s="49"/>
      <c r="EV13" s="23"/>
      <c r="EW13" s="23"/>
      <c r="EX13" s="23"/>
      <c r="EY13" s="23"/>
      <c r="EZ13" s="49"/>
      <c r="FA13" s="10">
        <v>15</v>
      </c>
      <c r="FB13" s="10">
        <v>43978</v>
      </c>
      <c r="FC13" s="10">
        <v>2094</v>
      </c>
      <c r="FD13" s="10">
        <v>6396</v>
      </c>
      <c r="FE13" s="49">
        <v>0.2273</v>
      </c>
      <c r="FF13" s="23"/>
      <c r="FG13" s="23"/>
      <c r="FH13" s="23"/>
      <c r="FI13" s="23"/>
      <c r="FJ13" s="49"/>
      <c r="FK13" s="23"/>
      <c r="FL13" s="10"/>
      <c r="FM13" s="23"/>
      <c r="FN13" s="23"/>
      <c r="FO13" s="49"/>
    </row>
    <row r="14" spans="1:171" x14ac:dyDescent="0.25">
      <c r="A14" s="23" t="s">
        <v>190</v>
      </c>
      <c r="B14" s="10"/>
      <c r="C14" s="23"/>
      <c r="D14" s="23"/>
      <c r="E14" s="23"/>
      <c r="F14" s="49"/>
      <c r="G14" s="23"/>
      <c r="H14" s="23"/>
      <c r="I14" s="23"/>
      <c r="J14" s="23"/>
      <c r="K14" s="49"/>
      <c r="L14" s="23"/>
      <c r="M14" s="23"/>
      <c r="N14" s="23"/>
      <c r="O14" s="23"/>
      <c r="P14" s="23"/>
      <c r="Q14" s="10"/>
      <c r="R14" s="23"/>
      <c r="S14" s="23"/>
      <c r="T14" s="23"/>
      <c r="U14" s="49"/>
      <c r="V14" s="10"/>
      <c r="W14" s="23"/>
      <c r="X14" s="23"/>
      <c r="Y14" s="23"/>
      <c r="Z14" s="49"/>
      <c r="AA14" s="10"/>
      <c r="AB14" s="23"/>
      <c r="AC14" s="23"/>
      <c r="AD14" s="23"/>
      <c r="AE14" s="49"/>
      <c r="AF14" s="10"/>
      <c r="AG14" s="23"/>
      <c r="AH14" s="23"/>
      <c r="AI14" s="23"/>
      <c r="AJ14" s="49"/>
      <c r="AK14" s="10"/>
      <c r="AL14" s="23"/>
      <c r="AM14" s="23"/>
      <c r="AN14" s="23"/>
      <c r="AO14" s="49"/>
      <c r="AP14" s="10"/>
      <c r="AQ14" s="23"/>
      <c r="AR14" s="23"/>
      <c r="AS14" s="23"/>
      <c r="AT14" s="49"/>
      <c r="AU14" s="10"/>
      <c r="AV14" s="23"/>
      <c r="AW14" s="23"/>
      <c r="AX14" s="23"/>
      <c r="AY14" s="49"/>
      <c r="AZ14" s="10"/>
      <c r="BA14" s="23"/>
      <c r="BB14" s="23"/>
      <c r="BC14" s="23"/>
      <c r="BD14" s="49"/>
      <c r="BE14" s="10"/>
      <c r="BF14" s="23"/>
      <c r="BG14" s="23"/>
      <c r="BH14" s="23"/>
      <c r="BI14" s="49"/>
      <c r="BJ14" s="10"/>
      <c r="BK14" s="23"/>
      <c r="BL14" s="23"/>
      <c r="BM14" s="23"/>
      <c r="BN14" s="49"/>
      <c r="BO14" s="10"/>
      <c r="BP14" s="23"/>
      <c r="BQ14" s="23"/>
      <c r="BR14" s="23"/>
      <c r="BS14" s="49"/>
      <c r="BT14" s="10"/>
      <c r="BU14" s="23"/>
      <c r="BV14" s="23"/>
      <c r="BW14" s="23"/>
      <c r="BX14" s="49"/>
      <c r="BY14" s="10"/>
      <c r="BZ14" s="23"/>
      <c r="CA14" s="23"/>
      <c r="CB14" s="23"/>
      <c r="CC14" s="49"/>
      <c r="CD14" s="10"/>
      <c r="CE14" s="23"/>
      <c r="CF14" s="23"/>
      <c r="CG14" s="23"/>
      <c r="CH14" s="49"/>
      <c r="CI14" s="23"/>
      <c r="CJ14" s="23"/>
      <c r="CK14" s="23"/>
      <c r="CL14" s="23"/>
      <c r="CM14" s="49"/>
      <c r="CN14" s="10"/>
      <c r="CO14" s="23"/>
      <c r="CP14" s="23"/>
      <c r="CQ14" s="23"/>
      <c r="CR14" s="49"/>
      <c r="CS14" s="10"/>
      <c r="CT14" s="23"/>
      <c r="CU14" s="23"/>
      <c r="CV14" s="23"/>
      <c r="CW14" s="76"/>
      <c r="CX14" s="23"/>
      <c r="CY14" s="23"/>
      <c r="CZ14" s="23"/>
      <c r="DA14" s="23"/>
      <c r="DB14" s="76"/>
      <c r="DC14" s="10"/>
      <c r="DD14" s="23"/>
      <c r="DE14" s="23"/>
      <c r="DF14" s="23"/>
      <c r="DG14" s="49"/>
      <c r="DH14" s="23"/>
      <c r="DI14" s="10">
        <v>1950</v>
      </c>
      <c r="DJ14" s="10">
        <v>125</v>
      </c>
      <c r="DK14" s="10"/>
      <c r="DL14" s="49">
        <v>8.2000000000000007E-3</v>
      </c>
      <c r="DM14" s="10"/>
      <c r="DN14" s="23"/>
      <c r="DO14" s="23"/>
      <c r="DP14" s="23"/>
      <c r="DQ14" s="49"/>
      <c r="DR14" s="10"/>
      <c r="DS14" s="23"/>
      <c r="DT14" s="23"/>
      <c r="DU14" s="23"/>
      <c r="DV14" s="49"/>
      <c r="DW14" s="74"/>
      <c r="DX14" s="49"/>
      <c r="DY14" s="49"/>
      <c r="DZ14" s="49"/>
      <c r="EA14" s="49"/>
      <c r="EB14" s="10"/>
      <c r="EC14" s="23"/>
      <c r="ED14" s="23"/>
      <c r="EE14" s="23"/>
      <c r="EF14" s="49"/>
      <c r="EG14" s="10"/>
      <c r="EH14" s="23"/>
      <c r="EI14" s="23"/>
      <c r="EJ14" s="23"/>
      <c r="EK14" s="49"/>
      <c r="EL14" s="10"/>
      <c r="EM14" s="23"/>
      <c r="EN14" s="23"/>
      <c r="EO14" s="23"/>
      <c r="EP14" s="49"/>
      <c r="EQ14" s="10"/>
      <c r="ER14" s="23"/>
      <c r="ES14" s="23"/>
      <c r="ET14" s="23"/>
      <c r="EU14" s="49"/>
      <c r="EV14" s="23"/>
      <c r="EW14" s="23"/>
      <c r="EX14" s="23"/>
      <c r="EY14" s="23"/>
      <c r="EZ14" s="49"/>
      <c r="FA14" s="10"/>
      <c r="FB14" s="23"/>
      <c r="FC14" s="23"/>
      <c r="FD14" s="23"/>
      <c r="FE14" s="49"/>
      <c r="FF14" s="23"/>
      <c r="FG14" s="23"/>
      <c r="FH14" s="23"/>
      <c r="FI14" s="23"/>
      <c r="FJ14" s="49"/>
      <c r="FK14" s="23"/>
      <c r="FL14" s="10"/>
      <c r="FM14" s="23"/>
      <c r="FN14" s="23"/>
      <c r="FO14" s="49"/>
    </row>
    <row r="15" spans="1:171" s="54" customFormat="1" x14ac:dyDescent="0.25">
      <c r="A15" s="25" t="s">
        <v>163</v>
      </c>
      <c r="B15" s="43">
        <f>SUM(B5:B14)</f>
        <v>3</v>
      </c>
      <c r="C15" s="43">
        <f t="shared" ref="C15:O15" si="1">SUM(C5:C14)</f>
        <v>14040.83</v>
      </c>
      <c r="D15" s="43">
        <f t="shared" si="1"/>
        <v>162</v>
      </c>
      <c r="E15" s="43">
        <f t="shared" si="1"/>
        <v>0</v>
      </c>
      <c r="F15" s="98">
        <f t="shared" si="1"/>
        <v>1</v>
      </c>
      <c r="G15" s="43">
        <v>5</v>
      </c>
      <c r="H15" s="25">
        <f t="shared" si="1"/>
        <v>4672.5600000000004</v>
      </c>
      <c r="I15" s="25">
        <f t="shared" si="1"/>
        <v>144.61000000000001</v>
      </c>
      <c r="J15" s="25">
        <f t="shared" si="1"/>
        <v>-0.46</v>
      </c>
      <c r="K15" s="51">
        <f t="shared" si="1"/>
        <v>1</v>
      </c>
      <c r="L15" s="43">
        <f t="shared" si="1"/>
        <v>58</v>
      </c>
      <c r="M15" s="25">
        <f t="shared" si="1"/>
        <v>580270.44999999995</v>
      </c>
      <c r="N15" s="25">
        <f t="shared" si="1"/>
        <v>19917.259999999998</v>
      </c>
      <c r="O15" s="77">
        <f t="shared" si="1"/>
        <v>1.0001</v>
      </c>
      <c r="P15" s="25"/>
      <c r="Q15" s="43">
        <f>SUM(Q5:Q14)</f>
        <v>4</v>
      </c>
      <c r="R15" s="43">
        <f t="shared" ref="R15:U15" si="2">SUM(R5:R14)</f>
        <v>37168</v>
      </c>
      <c r="S15" s="43">
        <f t="shared" si="2"/>
        <v>450</v>
      </c>
      <c r="T15" s="43">
        <f t="shared" si="2"/>
        <v>0</v>
      </c>
      <c r="U15" s="51">
        <f t="shared" si="2"/>
        <v>1</v>
      </c>
      <c r="V15" s="43">
        <f>SUM(V5:V14)</f>
        <v>382</v>
      </c>
      <c r="W15" s="25">
        <f t="shared" ref="W15:AT15" si="3">SUM(W5:W14)</f>
        <v>318575.33999999997</v>
      </c>
      <c r="X15" s="25">
        <f t="shared" si="3"/>
        <v>13396.73</v>
      </c>
      <c r="Y15" s="25">
        <f t="shared" si="3"/>
        <v>70167.820000000007</v>
      </c>
      <c r="Z15" s="51">
        <f t="shared" si="3"/>
        <v>1</v>
      </c>
      <c r="AA15" s="25">
        <f t="shared" si="3"/>
        <v>92</v>
      </c>
      <c r="AB15" s="25">
        <f t="shared" si="3"/>
        <v>82364.23000000001</v>
      </c>
      <c r="AC15" s="25">
        <f t="shared" si="3"/>
        <v>5661.2800000000007</v>
      </c>
      <c r="AD15" s="25">
        <f t="shared" si="3"/>
        <v>2149.09</v>
      </c>
      <c r="AE15" s="51">
        <f t="shared" si="3"/>
        <v>0.99990000000000001</v>
      </c>
      <c r="AF15" s="25">
        <f t="shared" si="3"/>
        <v>0</v>
      </c>
      <c r="AG15" s="25">
        <f t="shared" si="3"/>
        <v>2697.38</v>
      </c>
      <c r="AH15" s="25">
        <f t="shared" si="3"/>
        <v>425.45000000000005</v>
      </c>
      <c r="AI15" s="25">
        <f t="shared" si="3"/>
        <v>1099.82</v>
      </c>
      <c r="AJ15" s="51">
        <f t="shared" si="3"/>
        <v>1</v>
      </c>
      <c r="AK15" s="43">
        <f t="shared" si="3"/>
        <v>13</v>
      </c>
      <c r="AL15" s="25">
        <f t="shared" si="3"/>
        <v>2971.88</v>
      </c>
      <c r="AM15" s="25">
        <f t="shared" si="3"/>
        <v>369.22999999999996</v>
      </c>
      <c r="AN15" s="25">
        <f t="shared" si="3"/>
        <v>0</v>
      </c>
      <c r="AO15" s="51">
        <f t="shared" si="3"/>
        <v>1.0001</v>
      </c>
      <c r="AP15" s="43">
        <f t="shared" si="3"/>
        <v>28</v>
      </c>
      <c r="AQ15" s="25">
        <f t="shared" si="3"/>
        <v>1435.6499999999999</v>
      </c>
      <c r="AR15" s="25">
        <f t="shared" si="3"/>
        <v>212.02999999999997</v>
      </c>
      <c r="AS15" s="25">
        <f t="shared" si="3"/>
        <v>42.839999999999996</v>
      </c>
      <c r="AT15" s="51">
        <f t="shared" si="3"/>
        <v>1</v>
      </c>
      <c r="AU15" s="43">
        <f>SUM(AU5:AU14)</f>
        <v>11</v>
      </c>
      <c r="AV15" s="25">
        <f t="shared" ref="AV15:BS15" si="4">SUM(AV5:AV14)</f>
        <v>19421.16</v>
      </c>
      <c r="AW15" s="25">
        <f t="shared" si="4"/>
        <v>2939.1400000000003</v>
      </c>
      <c r="AX15" s="43">
        <f t="shared" si="4"/>
        <v>0</v>
      </c>
      <c r="AY15" s="51">
        <f t="shared" si="4"/>
        <v>1</v>
      </c>
      <c r="AZ15" s="43">
        <f t="shared" si="4"/>
        <v>121</v>
      </c>
      <c r="BA15" s="43">
        <f t="shared" si="4"/>
        <v>81944</v>
      </c>
      <c r="BB15" s="43">
        <f t="shared" si="4"/>
        <v>10145</v>
      </c>
      <c r="BC15" s="43">
        <f t="shared" si="4"/>
        <v>3350</v>
      </c>
      <c r="BD15" s="51">
        <f t="shared" si="4"/>
        <v>0.99990000000000001</v>
      </c>
      <c r="BE15" s="43">
        <f t="shared" si="4"/>
        <v>29</v>
      </c>
      <c r="BF15" s="43">
        <f t="shared" si="4"/>
        <v>51150</v>
      </c>
      <c r="BG15" s="43">
        <f t="shared" si="4"/>
        <v>670</v>
      </c>
      <c r="BH15" s="43">
        <f t="shared" si="4"/>
        <v>648</v>
      </c>
      <c r="BI15" s="51">
        <f t="shared" si="4"/>
        <v>1</v>
      </c>
      <c r="BJ15" s="43">
        <f t="shared" si="4"/>
        <v>215</v>
      </c>
      <c r="BK15" s="25">
        <f t="shared" si="4"/>
        <v>326184.3</v>
      </c>
      <c r="BL15" s="25">
        <f t="shared" si="4"/>
        <v>11405.8</v>
      </c>
      <c r="BM15" s="43">
        <f t="shared" si="4"/>
        <v>25519.699999999997</v>
      </c>
      <c r="BN15" s="51">
        <f t="shared" si="4"/>
        <v>1</v>
      </c>
      <c r="BO15" s="43">
        <f t="shared" si="4"/>
        <v>263</v>
      </c>
      <c r="BP15" s="43">
        <f t="shared" si="4"/>
        <v>240978</v>
      </c>
      <c r="BQ15" s="43">
        <f t="shared" si="4"/>
        <v>14173</v>
      </c>
      <c r="BR15" s="43">
        <f t="shared" si="4"/>
        <v>60016</v>
      </c>
      <c r="BS15" s="51">
        <f t="shared" si="4"/>
        <v>0.99999999999999989</v>
      </c>
      <c r="BT15" s="43">
        <f>SUM(BT5:BT14)</f>
        <v>202</v>
      </c>
      <c r="BU15" s="43">
        <f t="shared" ref="BU15:CC15" si="5">SUM(BU5:BU14)</f>
        <v>236941</v>
      </c>
      <c r="BV15" s="43">
        <f t="shared" si="5"/>
        <v>11104</v>
      </c>
      <c r="BW15" s="43">
        <f t="shared" si="5"/>
        <v>25422</v>
      </c>
      <c r="BX15" s="51">
        <f t="shared" si="5"/>
        <v>0.9900000000000001</v>
      </c>
      <c r="BY15" s="43">
        <f t="shared" si="5"/>
        <v>9</v>
      </c>
      <c r="BZ15" s="43">
        <f t="shared" si="5"/>
        <v>3694</v>
      </c>
      <c r="CA15" s="43">
        <f t="shared" si="5"/>
        <v>385</v>
      </c>
      <c r="CB15" s="43">
        <f t="shared" si="5"/>
        <v>48</v>
      </c>
      <c r="CC15" s="51">
        <f t="shared" si="5"/>
        <v>1</v>
      </c>
      <c r="CD15" s="43">
        <f t="shared" ref="CD15" si="6">SUM(CD5:CD14)</f>
        <v>21</v>
      </c>
      <c r="CE15" s="43">
        <f t="shared" ref="CE15" si="7">SUM(CE5:CE14)</f>
        <v>13718</v>
      </c>
      <c r="CF15" s="43">
        <f t="shared" ref="CF15" si="8">SUM(CF5:CF14)</f>
        <v>1930</v>
      </c>
      <c r="CG15" s="43">
        <f t="shared" ref="CG15" si="9">SUM(CG5:CG14)</f>
        <v>52</v>
      </c>
      <c r="CH15" s="51">
        <f t="shared" ref="CH15" si="10">SUM(CH5:CH14)</f>
        <v>0.99999999999999989</v>
      </c>
      <c r="CI15" s="43">
        <f t="shared" ref="CI15" si="11">SUM(CI5:CI14)</f>
        <v>46</v>
      </c>
      <c r="CJ15" s="43">
        <f t="shared" ref="CJ15" si="12">SUM(CJ5:CJ14)</f>
        <v>34659</v>
      </c>
      <c r="CK15" s="43">
        <f t="shared" ref="CK15" si="13">SUM(CK5:CK14)</f>
        <v>538</v>
      </c>
      <c r="CL15" s="43">
        <f t="shared" ref="CL15" si="14">SUM(CL5:CL14)</f>
        <v>669</v>
      </c>
      <c r="CM15" s="51">
        <f t="shared" ref="CM15" si="15">SUM(CM5:CM14)</f>
        <v>1</v>
      </c>
      <c r="CN15" s="43">
        <f t="shared" ref="CN15" si="16">SUM(CN5:CN14)</f>
        <v>2</v>
      </c>
      <c r="CO15" s="25">
        <f t="shared" ref="CO15" si="17">SUM(CO5:CO14)</f>
        <v>807.17</v>
      </c>
      <c r="CP15" s="25">
        <f t="shared" ref="CP15" si="18">SUM(CP5:CP14)</f>
        <v>17.77</v>
      </c>
      <c r="CQ15" s="25">
        <f t="shared" ref="CQ15" si="19">SUM(CQ5:CQ14)</f>
        <v>0.71</v>
      </c>
      <c r="CR15" s="51">
        <f t="shared" ref="CR15" si="20">SUM(CR5:CR14)</f>
        <v>1</v>
      </c>
      <c r="CS15" s="43">
        <f>SUM(CS5:CS14)</f>
        <v>4</v>
      </c>
      <c r="CT15" s="43">
        <f t="shared" ref="CT15:CW15" si="21">SUM(CT5:CT14)</f>
        <v>19318</v>
      </c>
      <c r="CU15" s="43">
        <f t="shared" si="21"/>
        <v>73</v>
      </c>
      <c r="CV15" s="43">
        <f t="shared" si="21"/>
        <v>0</v>
      </c>
      <c r="CW15" s="77">
        <f t="shared" si="21"/>
        <v>1</v>
      </c>
      <c r="CX15" s="25"/>
      <c r="CY15" s="43">
        <f t="shared" ref="CY15:DB15" si="22">SUM(CY5:CY14)</f>
        <v>248511.17</v>
      </c>
      <c r="CZ15" s="43">
        <f t="shared" si="22"/>
        <v>26402.440000000002</v>
      </c>
      <c r="DA15" s="43">
        <f t="shared" si="22"/>
        <v>96546.349999999991</v>
      </c>
      <c r="DB15" s="77">
        <f t="shared" si="22"/>
        <v>0.99999999999999989</v>
      </c>
      <c r="DC15" s="43">
        <f>SUM(DC5:DC14)</f>
        <v>286</v>
      </c>
      <c r="DD15" s="43">
        <f t="shared" ref="DD15:DG15" si="23">SUM(DD5:DD14)</f>
        <v>33252</v>
      </c>
      <c r="DE15" s="43">
        <f t="shared" si="23"/>
        <v>10746</v>
      </c>
      <c r="DF15" s="43">
        <f t="shared" si="23"/>
        <v>50896</v>
      </c>
      <c r="DG15" s="51">
        <f t="shared" si="23"/>
        <v>0.99990000000000001</v>
      </c>
      <c r="DH15" s="25"/>
      <c r="DI15" s="43">
        <v>200363</v>
      </c>
      <c r="DJ15" s="43">
        <v>30200</v>
      </c>
      <c r="DK15" s="43">
        <v>21508</v>
      </c>
      <c r="DL15" s="51">
        <v>1</v>
      </c>
      <c r="DM15" s="43">
        <f t="shared" ref="DM15:DQ15" si="24">SUM(DM5:DM14)</f>
        <v>8</v>
      </c>
      <c r="DN15" s="25">
        <f t="shared" si="24"/>
        <v>787.18</v>
      </c>
      <c r="DO15" s="25">
        <f t="shared" si="24"/>
        <v>1241</v>
      </c>
      <c r="DP15" s="25">
        <f t="shared" si="24"/>
        <v>781.05000000000007</v>
      </c>
      <c r="DQ15" s="51">
        <f t="shared" si="24"/>
        <v>1</v>
      </c>
      <c r="DR15" s="43">
        <f>SUM(DR5:DR14)</f>
        <v>235</v>
      </c>
      <c r="DS15" s="43">
        <f t="shared" ref="DS15:DV15" si="25">SUM(DS5:DS14)</f>
        <v>258565.77999999997</v>
      </c>
      <c r="DT15" s="43">
        <f t="shared" si="25"/>
        <v>11143.869999999999</v>
      </c>
      <c r="DU15" s="43">
        <f t="shared" si="25"/>
        <v>20533.16</v>
      </c>
      <c r="DV15" s="51">
        <f t="shared" si="25"/>
        <v>1</v>
      </c>
      <c r="DW15" s="43"/>
      <c r="DX15" s="25"/>
      <c r="DY15" s="25"/>
      <c r="DZ15" s="25"/>
      <c r="EA15" s="51"/>
      <c r="EB15" s="43">
        <f>SUM(EB5:EB14)</f>
        <v>2</v>
      </c>
      <c r="EC15" s="43">
        <f t="shared" ref="EC15:EF15" si="26">SUM(EC5:EC14)</f>
        <v>33369</v>
      </c>
      <c r="ED15" s="43">
        <f t="shared" si="26"/>
        <v>225</v>
      </c>
      <c r="EE15" s="43">
        <f t="shared" si="26"/>
        <v>28255</v>
      </c>
      <c r="EF15" s="51">
        <f t="shared" si="26"/>
        <v>1</v>
      </c>
      <c r="EG15" s="43">
        <f t="shared" ref="EG15" si="27">SUM(EG5:EG14)</f>
        <v>47</v>
      </c>
      <c r="EH15" s="25">
        <f t="shared" ref="EH15" si="28">SUM(EH5:EH14)</f>
        <v>38915.93</v>
      </c>
      <c r="EI15" s="25">
        <f t="shared" ref="EI15" si="29">SUM(EI5:EI14)</f>
        <v>2009.7600000000002</v>
      </c>
      <c r="EJ15" s="25">
        <f t="shared" ref="EJ15:EP15" si="30">SUM(EJ5:EJ14)</f>
        <v>3078.4300000000003</v>
      </c>
      <c r="EK15" s="51">
        <f t="shared" ref="EK15" si="31">SUM(EK5:EK14)</f>
        <v>1</v>
      </c>
      <c r="EL15" s="43">
        <f t="shared" si="30"/>
        <v>201</v>
      </c>
      <c r="EM15" s="25">
        <f t="shared" si="30"/>
        <v>212923.54</v>
      </c>
      <c r="EN15" s="25">
        <f t="shared" si="30"/>
        <v>13860.019999999999</v>
      </c>
      <c r="EO15" s="25">
        <f t="shared" si="30"/>
        <v>5840.34</v>
      </c>
      <c r="EP15" s="51">
        <f t="shared" si="30"/>
        <v>0.99995000000000001</v>
      </c>
      <c r="EQ15" s="43">
        <f>SUM(EQ5:EQ14)</f>
        <v>19</v>
      </c>
      <c r="ER15" s="25">
        <f t="shared" ref="ER15:EZ15" si="32">SUM(ER5:ER14)</f>
        <v>3936.16</v>
      </c>
      <c r="ES15" s="25">
        <f t="shared" si="32"/>
        <v>511.37</v>
      </c>
      <c r="ET15" s="25">
        <f t="shared" si="32"/>
        <v>58.38</v>
      </c>
      <c r="EU15" s="51">
        <f t="shared" si="32"/>
        <v>0.99880000000000002</v>
      </c>
      <c r="EV15" s="43">
        <f t="shared" si="32"/>
        <v>3</v>
      </c>
      <c r="EW15" s="25">
        <f t="shared" si="32"/>
        <v>101951.66</v>
      </c>
      <c r="EX15" s="25">
        <f t="shared" si="32"/>
        <v>263.58</v>
      </c>
      <c r="EY15" s="25">
        <f t="shared" si="32"/>
        <v>0</v>
      </c>
      <c r="EZ15" s="51">
        <f t="shared" si="32"/>
        <v>1</v>
      </c>
      <c r="FA15" s="43">
        <f>SUM(FA5:FA14)</f>
        <v>226</v>
      </c>
      <c r="FB15" s="43">
        <f t="shared" ref="FB15:FJ15" si="33">SUM(FB5:FB14)</f>
        <v>203407</v>
      </c>
      <c r="FC15" s="43">
        <f t="shared" si="33"/>
        <v>9841</v>
      </c>
      <c r="FD15" s="43">
        <f t="shared" si="33"/>
        <v>17616</v>
      </c>
      <c r="FE15" s="51">
        <f t="shared" si="33"/>
        <v>1</v>
      </c>
      <c r="FF15" s="104">
        <f t="shared" si="33"/>
        <v>402</v>
      </c>
      <c r="FG15" s="104">
        <f t="shared" si="33"/>
        <v>1061.57</v>
      </c>
      <c r="FH15" s="104">
        <f t="shared" si="33"/>
        <v>432.29999999999995</v>
      </c>
      <c r="FI15" s="104">
        <f t="shared" si="33"/>
        <v>1415.0000000000002</v>
      </c>
      <c r="FJ15" s="98">
        <f t="shared" si="33"/>
        <v>1</v>
      </c>
      <c r="FK15" s="104">
        <f t="shared" ref="FK15" si="34">SUM(FK5:FK14)</f>
        <v>94</v>
      </c>
      <c r="FL15" s="104">
        <f t="shared" ref="FL15" si="35">SUM(FL5:FL14)</f>
        <v>106021</v>
      </c>
      <c r="FM15" s="104">
        <f t="shared" ref="FM15" si="36">SUM(FM5:FM14)</f>
        <v>11765</v>
      </c>
      <c r="FN15" s="104">
        <f t="shared" ref="FN15" si="37">SUM(FN5:FN14)</f>
        <v>7385</v>
      </c>
      <c r="FO15" s="51">
        <f t="shared" ref="FO15" si="38">SUM(FO5:FO14)</f>
        <v>0.99999999999999989</v>
      </c>
    </row>
    <row r="16" spans="1:171" x14ac:dyDescent="0.25">
      <c r="AK16" s="7"/>
    </row>
    <row r="17" spans="37:37" x14ac:dyDescent="0.25">
      <c r="AK17" s="7"/>
    </row>
  </sheetData>
  <mergeCells count="137">
    <mergeCell ref="B2:F2"/>
    <mergeCell ref="G2:K2"/>
    <mergeCell ref="L2:P2"/>
    <mergeCell ref="Q2:U2"/>
    <mergeCell ref="V2:Z2"/>
    <mergeCell ref="AA2:AE2"/>
    <mergeCell ref="BT2:BX2"/>
    <mergeCell ref="BY2:CC2"/>
    <mergeCell ref="CD2:CH2"/>
    <mergeCell ref="CI2:CM2"/>
    <mergeCell ref="AF2:AJ2"/>
    <mergeCell ref="AK2:AO2"/>
    <mergeCell ref="AP2:AT2"/>
    <mergeCell ref="AU2:AY2"/>
    <mergeCell ref="AZ2:BD2"/>
    <mergeCell ref="BE2:BI2"/>
    <mergeCell ref="FA2:FE2"/>
    <mergeCell ref="FF2:FJ2"/>
    <mergeCell ref="DW2:EA2"/>
    <mergeCell ref="FK2:FO2"/>
    <mergeCell ref="B3:B4"/>
    <mergeCell ref="C3:E3"/>
    <mergeCell ref="F3:F4"/>
    <mergeCell ref="G3:G4"/>
    <mergeCell ref="H3:J3"/>
    <mergeCell ref="K3:K4"/>
    <mergeCell ref="L3:L4"/>
    <mergeCell ref="DR2:DV2"/>
    <mergeCell ref="EB2:EF2"/>
    <mergeCell ref="EG2:EK2"/>
    <mergeCell ref="EL2:EP2"/>
    <mergeCell ref="EQ2:EU2"/>
    <mergeCell ref="EV2:EZ2"/>
    <mergeCell ref="CN2:CR2"/>
    <mergeCell ref="CS2:CW2"/>
    <mergeCell ref="CX2:DB2"/>
    <mergeCell ref="DC2:DG2"/>
    <mergeCell ref="DH2:DL2"/>
    <mergeCell ref="DM2:DQ2"/>
    <mergeCell ref="BJ2:BN2"/>
    <mergeCell ref="BO2:BS2"/>
    <mergeCell ref="W3:Y3"/>
    <mergeCell ref="Z3:Z4"/>
    <mergeCell ref="AA3:AA4"/>
    <mergeCell ref="AB3:AD3"/>
    <mergeCell ref="AE3:AE4"/>
    <mergeCell ref="AF3:AF4"/>
    <mergeCell ref="M3:O3"/>
    <mergeCell ref="P3:P4"/>
    <mergeCell ref="Q3:Q4"/>
    <mergeCell ref="R3:T3"/>
    <mergeCell ref="U3:U4"/>
    <mergeCell ref="V3:V4"/>
    <mergeCell ref="AQ3:AS3"/>
    <mergeCell ref="AT3:AT4"/>
    <mergeCell ref="AU3:AU4"/>
    <mergeCell ref="AV3:AX3"/>
    <mergeCell ref="AY3:AY4"/>
    <mergeCell ref="AZ3:AZ4"/>
    <mergeCell ref="AG3:AI3"/>
    <mergeCell ref="AJ3:AJ4"/>
    <mergeCell ref="AK3:AK4"/>
    <mergeCell ref="AL3:AN3"/>
    <mergeCell ref="AO3:AO4"/>
    <mergeCell ref="AP3:AP4"/>
    <mergeCell ref="BK3:BM3"/>
    <mergeCell ref="BN3:BN4"/>
    <mergeCell ref="BO3:BO4"/>
    <mergeCell ref="BP3:BR3"/>
    <mergeCell ref="BS3:BS4"/>
    <mergeCell ref="BT3:BT4"/>
    <mergeCell ref="BA3:BC3"/>
    <mergeCell ref="BD3:BD4"/>
    <mergeCell ref="BE3:BE4"/>
    <mergeCell ref="BF3:BH3"/>
    <mergeCell ref="BI3:BI4"/>
    <mergeCell ref="BJ3:BJ4"/>
    <mergeCell ref="CE3:CG3"/>
    <mergeCell ref="CH3:CH4"/>
    <mergeCell ref="CI3:CI4"/>
    <mergeCell ref="CJ3:CL3"/>
    <mergeCell ref="CM3:CM4"/>
    <mergeCell ref="CN3:CN4"/>
    <mergeCell ref="BU3:BW3"/>
    <mergeCell ref="BX3:BX4"/>
    <mergeCell ref="BY3:BY4"/>
    <mergeCell ref="BZ3:CB3"/>
    <mergeCell ref="CC3:CC4"/>
    <mergeCell ref="CD3:CD4"/>
    <mergeCell ref="CY3:DA3"/>
    <mergeCell ref="DB3:DB4"/>
    <mergeCell ref="DC3:DC4"/>
    <mergeCell ref="DD3:DF3"/>
    <mergeCell ref="DG3:DG4"/>
    <mergeCell ref="DH3:DH4"/>
    <mergeCell ref="CO3:CQ3"/>
    <mergeCell ref="CR3:CR4"/>
    <mergeCell ref="CS3:CS4"/>
    <mergeCell ref="CT3:CV3"/>
    <mergeCell ref="CW3:CW4"/>
    <mergeCell ref="CX3:CX4"/>
    <mergeCell ref="EC3:EE3"/>
    <mergeCell ref="EF3:EF4"/>
    <mergeCell ref="EG3:EG4"/>
    <mergeCell ref="DI3:DK3"/>
    <mergeCell ref="DL3:DL4"/>
    <mergeCell ref="DM3:DM4"/>
    <mergeCell ref="DN3:DP3"/>
    <mergeCell ref="DQ3:DQ4"/>
    <mergeCell ref="DR3:DR4"/>
    <mergeCell ref="DW3:DW4"/>
    <mergeCell ref="DX3:DZ3"/>
    <mergeCell ref="EA3:EA4"/>
    <mergeCell ref="FL3:FN3"/>
    <mergeCell ref="FO3:FO4"/>
    <mergeCell ref="A3:A4"/>
    <mergeCell ref="FB3:FD3"/>
    <mergeCell ref="FE3:FE4"/>
    <mergeCell ref="FF3:FF4"/>
    <mergeCell ref="FG3:FI3"/>
    <mergeCell ref="FJ3:FJ4"/>
    <mergeCell ref="FK3:FK4"/>
    <mergeCell ref="ER3:ET3"/>
    <mergeCell ref="EU3:EU4"/>
    <mergeCell ref="EV3:EV4"/>
    <mergeCell ref="EW3:EY3"/>
    <mergeCell ref="EZ3:EZ4"/>
    <mergeCell ref="FA3:FA4"/>
    <mergeCell ref="EH3:EJ3"/>
    <mergeCell ref="EK3:EK4"/>
    <mergeCell ref="EL3:EL4"/>
    <mergeCell ref="EM3:EO3"/>
    <mergeCell ref="EP3:EP4"/>
    <mergeCell ref="EQ3:EQ4"/>
    <mergeCell ref="DS3:DU3"/>
    <mergeCell ref="DV3:DV4"/>
    <mergeCell ref="EB3:EB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1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33.140625" style="7" customWidth="1"/>
    <col min="2" max="103" width="10.85546875" style="7" customWidth="1"/>
    <col min="104" max="16384" width="9.140625" style="7"/>
  </cols>
  <sheetData>
    <row r="1" spans="1:103" ht="18.75" x14ac:dyDescent="0.3">
      <c r="A1" s="9" t="s">
        <v>304</v>
      </c>
    </row>
    <row r="2" spans="1:103" x14ac:dyDescent="0.25">
      <c r="A2" s="7" t="s">
        <v>174</v>
      </c>
    </row>
    <row r="3" spans="1:103" x14ac:dyDescent="0.25">
      <c r="A3" s="1" t="s">
        <v>0</v>
      </c>
      <c r="B3" s="121" t="s">
        <v>1</v>
      </c>
      <c r="C3" s="121"/>
      <c r="D3" s="121"/>
      <c r="E3" s="121" t="s">
        <v>2</v>
      </c>
      <c r="F3" s="121"/>
      <c r="G3" s="121"/>
      <c r="H3" s="121" t="s">
        <v>3</v>
      </c>
      <c r="I3" s="121"/>
      <c r="J3" s="121"/>
      <c r="K3" s="121" t="s">
        <v>307</v>
      </c>
      <c r="L3" s="121"/>
      <c r="M3" s="121"/>
      <c r="N3" s="114" t="s">
        <v>5</v>
      </c>
      <c r="O3" s="114"/>
      <c r="P3" s="114"/>
      <c r="Q3" s="121" t="s">
        <v>6</v>
      </c>
      <c r="R3" s="121"/>
      <c r="S3" s="121"/>
      <c r="T3" s="121" t="s">
        <v>7</v>
      </c>
      <c r="U3" s="121"/>
      <c r="V3" s="121"/>
      <c r="W3" s="121" t="s">
        <v>8</v>
      </c>
      <c r="X3" s="121"/>
      <c r="Y3" s="121"/>
      <c r="Z3" s="121" t="s">
        <v>9</v>
      </c>
      <c r="AA3" s="121"/>
      <c r="AB3" s="121"/>
      <c r="AC3" s="121" t="s">
        <v>10</v>
      </c>
      <c r="AD3" s="121"/>
      <c r="AE3" s="121"/>
      <c r="AF3" s="121" t="s">
        <v>11</v>
      </c>
      <c r="AG3" s="121"/>
      <c r="AH3" s="121"/>
      <c r="AI3" s="121" t="s">
        <v>12</v>
      </c>
      <c r="AJ3" s="121"/>
      <c r="AK3" s="121"/>
      <c r="AL3" s="121" t="s">
        <v>13</v>
      </c>
      <c r="AM3" s="121"/>
      <c r="AN3" s="121"/>
      <c r="AO3" s="121" t="s">
        <v>14</v>
      </c>
      <c r="AP3" s="121"/>
      <c r="AQ3" s="121"/>
      <c r="AR3" s="121" t="s">
        <v>15</v>
      </c>
      <c r="AS3" s="121"/>
      <c r="AT3" s="121"/>
      <c r="AU3" s="121" t="s">
        <v>16</v>
      </c>
      <c r="AV3" s="121"/>
      <c r="AW3" s="121"/>
      <c r="AX3" s="121" t="s">
        <v>17</v>
      </c>
      <c r="AY3" s="121"/>
      <c r="AZ3" s="121"/>
      <c r="BA3" s="121" t="s">
        <v>18</v>
      </c>
      <c r="BB3" s="121"/>
      <c r="BC3" s="121"/>
      <c r="BD3" s="121" t="s">
        <v>296</v>
      </c>
      <c r="BE3" s="121"/>
      <c r="BF3" s="121"/>
      <c r="BG3" s="121" t="s">
        <v>19</v>
      </c>
      <c r="BH3" s="121"/>
      <c r="BI3" s="121"/>
      <c r="BJ3" s="121" t="s">
        <v>20</v>
      </c>
      <c r="BK3" s="121"/>
      <c r="BL3" s="121"/>
      <c r="BM3" s="121" t="s">
        <v>21</v>
      </c>
      <c r="BN3" s="121"/>
      <c r="BO3" s="121"/>
      <c r="BP3" s="121" t="s">
        <v>22</v>
      </c>
      <c r="BQ3" s="121"/>
      <c r="BR3" s="121"/>
      <c r="BS3" s="121" t="s">
        <v>23</v>
      </c>
      <c r="BT3" s="121"/>
      <c r="BU3" s="121"/>
      <c r="BV3" s="121" t="s">
        <v>24</v>
      </c>
      <c r="BW3" s="121"/>
      <c r="BX3" s="121"/>
      <c r="BY3" s="107" t="s">
        <v>25</v>
      </c>
      <c r="BZ3" s="122"/>
      <c r="CA3" s="108"/>
      <c r="CB3" s="121" t="s">
        <v>26</v>
      </c>
      <c r="CC3" s="121"/>
      <c r="CD3" s="121"/>
      <c r="CE3" s="121" t="s">
        <v>27</v>
      </c>
      <c r="CF3" s="121"/>
      <c r="CG3" s="121"/>
      <c r="CH3" s="121" t="s">
        <v>28</v>
      </c>
      <c r="CI3" s="121"/>
      <c r="CJ3" s="121"/>
      <c r="CK3" s="121" t="s">
        <v>29</v>
      </c>
      <c r="CL3" s="121"/>
      <c r="CM3" s="121"/>
      <c r="CN3" s="121" t="s">
        <v>30</v>
      </c>
      <c r="CO3" s="121"/>
      <c r="CP3" s="121"/>
      <c r="CQ3" s="121" t="s">
        <v>31</v>
      </c>
      <c r="CR3" s="121"/>
      <c r="CS3" s="121"/>
      <c r="CT3" s="121" t="s">
        <v>32</v>
      </c>
      <c r="CU3" s="121"/>
      <c r="CV3" s="121"/>
      <c r="CW3" s="121" t="s">
        <v>33</v>
      </c>
      <c r="CX3" s="121"/>
      <c r="CY3" s="121"/>
    </row>
    <row r="4" spans="1:103" x14ac:dyDescent="0.25">
      <c r="A4" s="10"/>
      <c r="B4" s="40" t="s">
        <v>161</v>
      </c>
      <c r="C4" s="40" t="s">
        <v>162</v>
      </c>
      <c r="D4" s="40" t="s">
        <v>163</v>
      </c>
      <c r="E4" s="40" t="s">
        <v>161</v>
      </c>
      <c r="F4" s="40" t="s">
        <v>162</v>
      </c>
      <c r="G4" s="40" t="s">
        <v>163</v>
      </c>
      <c r="H4" s="40" t="s">
        <v>161</v>
      </c>
      <c r="I4" s="40" t="s">
        <v>162</v>
      </c>
      <c r="J4" s="40" t="s">
        <v>163</v>
      </c>
      <c r="K4" s="40" t="s">
        <v>161</v>
      </c>
      <c r="L4" s="40" t="s">
        <v>162</v>
      </c>
      <c r="M4" s="40" t="s">
        <v>163</v>
      </c>
      <c r="N4" s="40" t="s">
        <v>161</v>
      </c>
      <c r="O4" s="40" t="s">
        <v>162</v>
      </c>
      <c r="P4" s="40" t="s">
        <v>163</v>
      </c>
      <c r="Q4" s="40" t="s">
        <v>161</v>
      </c>
      <c r="R4" s="40" t="s">
        <v>162</v>
      </c>
      <c r="S4" s="40" t="s">
        <v>163</v>
      </c>
      <c r="T4" s="40" t="s">
        <v>161</v>
      </c>
      <c r="U4" s="40" t="s">
        <v>162</v>
      </c>
      <c r="V4" s="40" t="s">
        <v>163</v>
      </c>
      <c r="W4" s="40" t="s">
        <v>161</v>
      </c>
      <c r="X4" s="40" t="s">
        <v>162</v>
      </c>
      <c r="Y4" s="40" t="s">
        <v>163</v>
      </c>
      <c r="Z4" s="40" t="s">
        <v>161</v>
      </c>
      <c r="AA4" s="40" t="s">
        <v>162</v>
      </c>
      <c r="AB4" s="40" t="s">
        <v>163</v>
      </c>
      <c r="AC4" s="40" t="s">
        <v>161</v>
      </c>
      <c r="AD4" s="40" t="s">
        <v>162</v>
      </c>
      <c r="AE4" s="40" t="s">
        <v>163</v>
      </c>
      <c r="AF4" s="40" t="s">
        <v>161</v>
      </c>
      <c r="AG4" s="40" t="s">
        <v>162</v>
      </c>
      <c r="AH4" s="40" t="s">
        <v>163</v>
      </c>
      <c r="AI4" s="40" t="s">
        <v>161</v>
      </c>
      <c r="AJ4" s="40" t="s">
        <v>162</v>
      </c>
      <c r="AK4" s="40" t="s">
        <v>163</v>
      </c>
      <c r="AL4" s="40" t="s">
        <v>161</v>
      </c>
      <c r="AM4" s="40" t="s">
        <v>162</v>
      </c>
      <c r="AN4" s="40" t="s">
        <v>163</v>
      </c>
      <c r="AO4" s="40" t="s">
        <v>161</v>
      </c>
      <c r="AP4" s="40" t="s">
        <v>162</v>
      </c>
      <c r="AQ4" s="40" t="s">
        <v>163</v>
      </c>
      <c r="AR4" s="40" t="s">
        <v>161</v>
      </c>
      <c r="AS4" s="40" t="s">
        <v>162</v>
      </c>
      <c r="AT4" s="40" t="s">
        <v>163</v>
      </c>
      <c r="AU4" s="40" t="s">
        <v>161</v>
      </c>
      <c r="AV4" s="40" t="s">
        <v>162</v>
      </c>
      <c r="AW4" s="40" t="s">
        <v>163</v>
      </c>
      <c r="AX4" s="40" t="s">
        <v>161</v>
      </c>
      <c r="AY4" s="40" t="s">
        <v>162</v>
      </c>
      <c r="AZ4" s="40" t="s">
        <v>163</v>
      </c>
      <c r="BA4" s="40" t="s">
        <v>161</v>
      </c>
      <c r="BB4" s="40" t="s">
        <v>162</v>
      </c>
      <c r="BC4" s="40" t="s">
        <v>163</v>
      </c>
      <c r="BD4" s="40" t="s">
        <v>161</v>
      </c>
      <c r="BE4" s="40" t="s">
        <v>162</v>
      </c>
      <c r="BF4" s="40" t="s">
        <v>163</v>
      </c>
      <c r="BG4" s="40" t="s">
        <v>161</v>
      </c>
      <c r="BH4" s="40" t="s">
        <v>162</v>
      </c>
      <c r="BI4" s="40" t="s">
        <v>163</v>
      </c>
      <c r="BJ4" s="40" t="s">
        <v>161</v>
      </c>
      <c r="BK4" s="40" t="s">
        <v>162</v>
      </c>
      <c r="BL4" s="40" t="s">
        <v>163</v>
      </c>
      <c r="BM4" s="40" t="s">
        <v>161</v>
      </c>
      <c r="BN4" s="40" t="s">
        <v>162</v>
      </c>
      <c r="BO4" s="40" t="s">
        <v>163</v>
      </c>
      <c r="BP4" s="40" t="s">
        <v>161</v>
      </c>
      <c r="BQ4" s="40" t="s">
        <v>162</v>
      </c>
      <c r="BR4" s="40" t="s">
        <v>163</v>
      </c>
      <c r="BS4" s="40" t="s">
        <v>161</v>
      </c>
      <c r="BT4" s="40" t="s">
        <v>162</v>
      </c>
      <c r="BU4" s="40" t="s">
        <v>163</v>
      </c>
      <c r="BV4" s="40" t="s">
        <v>161</v>
      </c>
      <c r="BW4" s="40" t="s">
        <v>162</v>
      </c>
      <c r="BX4" s="40" t="s">
        <v>163</v>
      </c>
      <c r="BY4" s="40" t="s">
        <v>161</v>
      </c>
      <c r="BZ4" s="40" t="s">
        <v>162</v>
      </c>
      <c r="CA4" s="40" t="s">
        <v>163</v>
      </c>
      <c r="CB4" s="40" t="s">
        <v>161</v>
      </c>
      <c r="CC4" s="40" t="s">
        <v>162</v>
      </c>
      <c r="CD4" s="40" t="s">
        <v>163</v>
      </c>
      <c r="CE4" s="40" t="s">
        <v>161</v>
      </c>
      <c r="CF4" s="40" t="s">
        <v>162</v>
      </c>
      <c r="CG4" s="40" t="s">
        <v>163</v>
      </c>
      <c r="CH4" s="40" t="s">
        <v>161</v>
      </c>
      <c r="CI4" s="40" t="s">
        <v>162</v>
      </c>
      <c r="CJ4" s="40" t="s">
        <v>163</v>
      </c>
      <c r="CK4" s="40" t="s">
        <v>161</v>
      </c>
      <c r="CL4" s="40" t="s">
        <v>162</v>
      </c>
      <c r="CM4" s="40" t="s">
        <v>163</v>
      </c>
      <c r="CN4" s="40" t="s">
        <v>161</v>
      </c>
      <c r="CO4" s="40" t="s">
        <v>162</v>
      </c>
      <c r="CP4" s="40" t="s">
        <v>163</v>
      </c>
      <c r="CQ4" s="40" t="s">
        <v>161</v>
      </c>
      <c r="CR4" s="40" t="s">
        <v>162</v>
      </c>
      <c r="CS4" s="40" t="s">
        <v>163</v>
      </c>
      <c r="CT4" s="40" t="s">
        <v>161</v>
      </c>
      <c r="CU4" s="40" t="s">
        <v>162</v>
      </c>
      <c r="CV4" s="40" t="s">
        <v>163</v>
      </c>
      <c r="CW4" s="40" t="s">
        <v>161</v>
      </c>
      <c r="CX4" s="40" t="s">
        <v>162</v>
      </c>
      <c r="CY4" s="40" t="s">
        <v>163</v>
      </c>
    </row>
    <row r="5" spans="1:103" x14ac:dyDescent="0.25">
      <c r="A5" s="10" t="s">
        <v>164</v>
      </c>
      <c r="B5" s="10">
        <v>55</v>
      </c>
      <c r="C5" s="10">
        <f>D5-B5</f>
        <v>18814</v>
      </c>
      <c r="D5" s="10">
        <v>18869</v>
      </c>
      <c r="E5" s="10"/>
      <c r="F5" s="10">
        <f>G5-E5</f>
        <v>4082</v>
      </c>
      <c r="G5" s="101">
        <v>4082</v>
      </c>
      <c r="H5" s="10"/>
      <c r="I5" s="10">
        <f>J5-H5</f>
        <v>3536781</v>
      </c>
      <c r="J5" s="10">
        <v>3536781</v>
      </c>
      <c r="K5" s="10"/>
      <c r="L5" s="10">
        <f>M5-K5</f>
        <v>21923</v>
      </c>
      <c r="M5" s="10">
        <v>21923</v>
      </c>
      <c r="N5" s="10">
        <v>51703</v>
      </c>
      <c r="O5" s="10">
        <f>P5-N5</f>
        <v>251098</v>
      </c>
      <c r="P5" s="10">
        <v>302801</v>
      </c>
      <c r="Q5" s="10">
        <v>13600</v>
      </c>
      <c r="R5" s="10">
        <f>S5-Q5</f>
        <v>19997</v>
      </c>
      <c r="S5" s="10">
        <v>33597</v>
      </c>
      <c r="T5" s="10">
        <v>28021</v>
      </c>
      <c r="U5" s="10">
        <f>V5-T5</f>
        <v>36183</v>
      </c>
      <c r="V5" s="10">
        <v>64204</v>
      </c>
      <c r="W5" s="10">
        <v>20</v>
      </c>
      <c r="X5" s="10">
        <f>Y5-W5</f>
        <v>722</v>
      </c>
      <c r="Y5" s="10">
        <v>742</v>
      </c>
      <c r="Z5" s="10">
        <v>54</v>
      </c>
      <c r="AA5" s="10">
        <f>AB5-Z5</f>
        <v>82</v>
      </c>
      <c r="AB5" s="10">
        <v>136</v>
      </c>
      <c r="AC5" s="10"/>
      <c r="AD5" s="10">
        <f>AE5-AC5</f>
        <v>924</v>
      </c>
      <c r="AE5" s="10">
        <v>924</v>
      </c>
      <c r="AF5" s="10">
        <v>8137</v>
      </c>
      <c r="AG5" s="10">
        <f>AH5-AF5</f>
        <v>-8137</v>
      </c>
      <c r="AH5" s="10"/>
      <c r="AI5" s="10">
        <v>866</v>
      </c>
      <c r="AJ5" s="10">
        <f>AK5-AI5</f>
        <v>6467</v>
      </c>
      <c r="AK5" s="10">
        <v>7333</v>
      </c>
      <c r="AL5" s="10">
        <v>29981</v>
      </c>
      <c r="AM5" s="10">
        <f>AN5-AL5</f>
        <v>42705</v>
      </c>
      <c r="AN5" s="10">
        <v>72686</v>
      </c>
      <c r="AO5" s="10">
        <v>51505</v>
      </c>
      <c r="AP5" s="10">
        <f>AQ5-AO5</f>
        <v>172834</v>
      </c>
      <c r="AQ5" s="10">
        <v>224339</v>
      </c>
      <c r="AR5" s="10">
        <v>33844</v>
      </c>
      <c r="AS5" s="10">
        <f>AT5-AR5</f>
        <v>40460</v>
      </c>
      <c r="AT5" s="10">
        <v>74304</v>
      </c>
      <c r="AU5" s="10">
        <v>531</v>
      </c>
      <c r="AV5" s="10">
        <f>AW5-AU5</f>
        <v>2030</v>
      </c>
      <c r="AW5" s="10">
        <v>2561</v>
      </c>
      <c r="AX5" s="10">
        <v>4061</v>
      </c>
      <c r="AY5" s="10">
        <f>AZ5-AX5</f>
        <v>11277</v>
      </c>
      <c r="AZ5" s="10">
        <v>15338</v>
      </c>
      <c r="BA5" s="10">
        <v>5945</v>
      </c>
      <c r="BB5" s="10">
        <f>BC5-BA5</f>
        <v>4885</v>
      </c>
      <c r="BC5" s="10">
        <v>10830</v>
      </c>
      <c r="BD5" s="10"/>
      <c r="BE5" s="10">
        <f>BF5-BD5</f>
        <v>3906</v>
      </c>
      <c r="BF5" s="10">
        <v>3906</v>
      </c>
      <c r="BG5" s="10"/>
      <c r="BH5" s="10">
        <f>BI5-BG5</f>
        <v>4866</v>
      </c>
      <c r="BI5" s="10">
        <v>4866</v>
      </c>
      <c r="BJ5" s="10">
        <v>95222</v>
      </c>
      <c r="BK5" s="10">
        <f>BL5-BJ5</f>
        <v>807278</v>
      </c>
      <c r="BL5" s="10">
        <v>902500</v>
      </c>
      <c r="BM5" s="10">
        <v>151660</v>
      </c>
      <c r="BN5" s="10">
        <f>BO5-BM5</f>
        <v>212145</v>
      </c>
      <c r="BO5" s="10">
        <v>363805</v>
      </c>
      <c r="BP5" s="10">
        <v>98832</v>
      </c>
      <c r="BQ5" s="10">
        <f>BR5-BP5</f>
        <v>247820</v>
      </c>
      <c r="BR5" s="10">
        <v>346652</v>
      </c>
      <c r="BS5" s="10">
        <v>391</v>
      </c>
      <c r="BT5" s="10">
        <f>BU5-BS5</f>
        <v>232</v>
      </c>
      <c r="BU5" s="10">
        <v>623</v>
      </c>
      <c r="BV5" s="10">
        <v>60737</v>
      </c>
      <c r="BW5" s="10">
        <f>BX5-BV5</f>
        <v>263138</v>
      </c>
      <c r="BX5" s="10">
        <v>323875</v>
      </c>
      <c r="BY5" s="10"/>
      <c r="BZ5" s="10">
        <f>CA5-BY5</f>
        <v>0</v>
      </c>
      <c r="CA5" s="10"/>
      <c r="CB5" s="10"/>
      <c r="CC5" s="10">
        <f>CD5-CB5</f>
        <v>9586</v>
      </c>
      <c r="CD5" s="10">
        <v>9586</v>
      </c>
      <c r="CE5" s="10">
        <v>20368</v>
      </c>
      <c r="CF5" s="10">
        <f>CG5-CE5</f>
        <v>25685</v>
      </c>
      <c r="CG5" s="10">
        <v>46053</v>
      </c>
      <c r="CH5" s="10">
        <v>6957</v>
      </c>
      <c r="CI5" s="10">
        <f>CJ5-CH5</f>
        <v>34059</v>
      </c>
      <c r="CJ5" s="10">
        <v>41016</v>
      </c>
      <c r="CK5" s="10">
        <v>43967</v>
      </c>
      <c r="CL5" s="10">
        <f>CM5-CK5</f>
        <v>14890</v>
      </c>
      <c r="CM5" s="10">
        <v>58857</v>
      </c>
      <c r="CN5" s="10"/>
      <c r="CO5" s="10">
        <f>CP5-CN5</f>
        <v>89989</v>
      </c>
      <c r="CP5" s="10">
        <v>89989</v>
      </c>
      <c r="CQ5" s="10">
        <v>19019</v>
      </c>
      <c r="CR5" s="10">
        <f>CS5-CQ5</f>
        <v>100776</v>
      </c>
      <c r="CS5" s="30">
        <v>119795</v>
      </c>
      <c r="CT5" s="10">
        <v>176525</v>
      </c>
      <c r="CU5" s="10">
        <f>CV5-CT5</f>
        <v>661546</v>
      </c>
      <c r="CV5" s="10">
        <v>838071</v>
      </c>
      <c r="CW5" s="10">
        <v>6929</v>
      </c>
      <c r="CX5" s="10">
        <f>CY5-CW5</f>
        <v>4270</v>
      </c>
      <c r="CY5" s="10">
        <v>11199</v>
      </c>
    </row>
    <row r="6" spans="1:103" x14ac:dyDescent="0.25">
      <c r="A6" s="10" t="s">
        <v>165</v>
      </c>
      <c r="B6" s="10">
        <v>101</v>
      </c>
      <c r="C6" s="10">
        <f t="shared" ref="C6:C14" si="0">D6-B6</f>
        <v>59561</v>
      </c>
      <c r="D6" s="10">
        <v>59662</v>
      </c>
      <c r="E6" s="10"/>
      <c r="F6" s="10">
        <f t="shared" ref="F6:F14" si="1">G6-E6</f>
        <v>78280</v>
      </c>
      <c r="G6" s="101">
        <v>78280</v>
      </c>
      <c r="H6" s="10"/>
      <c r="I6" s="10">
        <f t="shared" ref="I6:I14" si="2">J6-H6</f>
        <v>1733047</v>
      </c>
      <c r="J6" s="10">
        <v>1733047</v>
      </c>
      <c r="K6" s="10"/>
      <c r="L6" s="10">
        <f t="shared" ref="L6:L14" si="3">M6-K6</f>
        <v>350915</v>
      </c>
      <c r="M6" s="10">
        <v>350915</v>
      </c>
      <c r="N6" s="10">
        <v>4413</v>
      </c>
      <c r="O6" s="10">
        <f t="shared" ref="O6:O14" si="4">P6-N6</f>
        <v>1837982</v>
      </c>
      <c r="P6" s="10">
        <v>1842395</v>
      </c>
      <c r="Q6" s="10">
        <v>1505</v>
      </c>
      <c r="R6" s="10">
        <f t="shared" ref="R6:R14" si="5">S6-Q6</f>
        <v>80161</v>
      </c>
      <c r="S6" s="10">
        <v>81666</v>
      </c>
      <c r="T6" s="10">
        <v>4970</v>
      </c>
      <c r="U6" s="10">
        <f t="shared" ref="U6:U14" si="6">V6-T6</f>
        <v>74580</v>
      </c>
      <c r="V6" s="10">
        <v>79550</v>
      </c>
      <c r="W6" s="10">
        <v>37</v>
      </c>
      <c r="X6" s="10">
        <f t="shared" ref="X6:X14" si="7">Y6-W6</f>
        <v>3590</v>
      </c>
      <c r="Y6" s="10">
        <v>3627</v>
      </c>
      <c r="Z6" s="10">
        <v>27</v>
      </c>
      <c r="AA6" s="10">
        <f t="shared" ref="AA6:AA14" si="8">AB6-Z6</f>
        <v>2811</v>
      </c>
      <c r="AB6" s="10">
        <v>2838</v>
      </c>
      <c r="AC6" s="10"/>
      <c r="AD6" s="10">
        <f t="shared" ref="AD6:AD14" si="9">AE6-AC6</f>
        <v>478</v>
      </c>
      <c r="AE6" s="10">
        <v>478</v>
      </c>
      <c r="AF6" s="10">
        <v>947</v>
      </c>
      <c r="AG6" s="10">
        <f t="shared" ref="AG6:AG14" si="10">AH6-AF6</f>
        <v>-947</v>
      </c>
      <c r="AH6" s="10"/>
      <c r="AI6" s="10">
        <v>609</v>
      </c>
      <c r="AJ6" s="10">
        <f t="shared" ref="AJ6:AJ14" si="11">AK6-AI6</f>
        <v>48540</v>
      </c>
      <c r="AK6" s="10">
        <v>49149</v>
      </c>
      <c r="AL6" s="10">
        <v>3223</v>
      </c>
      <c r="AM6" s="10">
        <f t="shared" ref="AM6:AM14" si="12">AN6-AL6</f>
        <v>353440</v>
      </c>
      <c r="AN6" s="10">
        <v>356663</v>
      </c>
      <c r="AO6" s="10">
        <v>6029</v>
      </c>
      <c r="AP6" s="10">
        <f t="shared" ref="AP6:AP14" si="13">AQ6-AO6</f>
        <v>489827</v>
      </c>
      <c r="AQ6" s="10">
        <v>495856</v>
      </c>
      <c r="AR6" s="10">
        <v>14026</v>
      </c>
      <c r="AS6" s="10">
        <f t="shared" ref="AS6:AS14" si="14">AT6-AR6</f>
        <v>741922</v>
      </c>
      <c r="AT6" s="10">
        <v>755948</v>
      </c>
      <c r="AU6" s="10">
        <v>122</v>
      </c>
      <c r="AV6" s="10">
        <f t="shared" ref="AV6:AV14" si="15">AW6-AU6</f>
        <v>13697</v>
      </c>
      <c r="AW6" s="10">
        <v>13819</v>
      </c>
      <c r="AX6" s="10">
        <v>630</v>
      </c>
      <c r="AY6" s="10">
        <f t="shared" ref="AY6:AY14" si="16">AZ6-AX6</f>
        <v>62526</v>
      </c>
      <c r="AZ6" s="10">
        <v>63156</v>
      </c>
      <c r="BA6" s="10">
        <v>1136</v>
      </c>
      <c r="BB6" s="10">
        <f t="shared" ref="BB6:BB14" si="17">BC6-BA6</f>
        <v>17782</v>
      </c>
      <c r="BC6" s="10">
        <v>18918</v>
      </c>
      <c r="BD6" s="10"/>
      <c r="BE6" s="10">
        <f t="shared" ref="BE6:BE14" si="18">BF6-BD6</f>
        <v>59577</v>
      </c>
      <c r="BF6" s="10">
        <v>59577</v>
      </c>
      <c r="BG6" s="10"/>
      <c r="BH6" s="10">
        <f t="shared" ref="BH6:BH14" si="19">BI6-BG6</f>
        <v>38957</v>
      </c>
      <c r="BI6" s="10">
        <v>38957</v>
      </c>
      <c r="BJ6" s="10">
        <v>17348</v>
      </c>
      <c r="BK6" s="10">
        <f t="shared" ref="BK6:BK14" si="20">BL6-BJ6</f>
        <v>772011</v>
      </c>
      <c r="BL6" s="10">
        <v>789359</v>
      </c>
      <c r="BM6" s="10">
        <v>20229</v>
      </c>
      <c r="BN6" s="10">
        <f t="shared" ref="BN6:BN14" si="21">BO6-BM6</f>
        <v>1583948</v>
      </c>
      <c r="BO6" s="10">
        <v>1604177</v>
      </c>
      <c r="BP6" s="10">
        <v>15741</v>
      </c>
      <c r="BQ6" s="10">
        <f t="shared" ref="BQ6:BQ14" si="22">BR6-BP6</f>
        <v>462954</v>
      </c>
      <c r="BR6" s="10">
        <v>478695</v>
      </c>
      <c r="BS6" s="10">
        <v>68</v>
      </c>
      <c r="BT6" s="10">
        <f t="shared" ref="BT6:BT14" si="23">BU6-BS6</f>
        <v>94</v>
      </c>
      <c r="BU6" s="10">
        <v>162</v>
      </c>
      <c r="BV6" s="10">
        <v>4639</v>
      </c>
      <c r="BW6" s="10">
        <f t="shared" ref="BW6:BW14" si="24">BX6-BV6</f>
        <v>510907</v>
      </c>
      <c r="BX6" s="10">
        <v>515546</v>
      </c>
      <c r="BY6" s="10"/>
      <c r="BZ6" s="10">
        <f t="shared" ref="BZ6:BZ12" si="25">CA6-BY6</f>
        <v>0</v>
      </c>
      <c r="CA6" s="10"/>
      <c r="CB6" s="10"/>
      <c r="CC6" s="10">
        <f t="shared" ref="CC6:CC14" si="26">CD6-CB6</f>
        <v>295741</v>
      </c>
      <c r="CD6" s="10">
        <v>295741</v>
      </c>
      <c r="CE6" s="10">
        <v>1899</v>
      </c>
      <c r="CF6" s="10">
        <f t="shared" ref="CF6:CF14" si="27">CG6-CE6</f>
        <v>103679</v>
      </c>
      <c r="CG6" s="10">
        <v>105578</v>
      </c>
      <c r="CH6" s="10">
        <v>767</v>
      </c>
      <c r="CI6" s="10">
        <f t="shared" ref="CI6:CI14" si="28">CJ6-CH6</f>
        <v>71433</v>
      </c>
      <c r="CJ6" s="10">
        <v>72200</v>
      </c>
      <c r="CK6" s="10">
        <v>3840</v>
      </c>
      <c r="CL6" s="10">
        <f t="shared" ref="CL6:CL14" si="29">CM6-CK6</f>
        <v>41461</v>
      </c>
      <c r="CM6" s="10">
        <v>45301</v>
      </c>
      <c r="CN6" s="10"/>
      <c r="CO6" s="10">
        <f t="shared" ref="CO6:CO14" si="30">CP6-CN6</f>
        <v>310540</v>
      </c>
      <c r="CP6" s="10">
        <v>310540</v>
      </c>
      <c r="CQ6" s="10">
        <v>3573</v>
      </c>
      <c r="CR6" s="10">
        <f t="shared" ref="CR6:CR14" si="31">CS6-CQ6</f>
        <v>288341</v>
      </c>
      <c r="CS6" s="10">
        <v>291914</v>
      </c>
      <c r="CT6" s="10">
        <v>18911</v>
      </c>
      <c r="CU6" s="10">
        <f t="shared" ref="CU6:CU14" si="32">CV6-CT6</f>
        <v>1333946</v>
      </c>
      <c r="CV6" s="10">
        <v>1352857</v>
      </c>
      <c r="CW6" s="10">
        <v>1905</v>
      </c>
      <c r="CX6" s="10">
        <f t="shared" ref="CX6:CX14" si="33">CY6-CW6</f>
        <v>134661</v>
      </c>
      <c r="CY6" s="10">
        <v>136566</v>
      </c>
    </row>
    <row r="7" spans="1:103" x14ac:dyDescent="0.25">
      <c r="A7" s="10" t="s">
        <v>166</v>
      </c>
      <c r="B7" s="10">
        <v>28</v>
      </c>
      <c r="C7" s="10">
        <f t="shared" si="0"/>
        <v>48106</v>
      </c>
      <c r="D7" s="10">
        <v>48134</v>
      </c>
      <c r="E7" s="10"/>
      <c r="F7" s="10">
        <f t="shared" si="1"/>
        <v>57089</v>
      </c>
      <c r="G7" s="101">
        <v>57089</v>
      </c>
      <c r="H7" s="10"/>
      <c r="I7" s="10">
        <f t="shared" si="2"/>
        <v>713371</v>
      </c>
      <c r="J7" s="10">
        <v>713371</v>
      </c>
      <c r="K7" s="10"/>
      <c r="L7" s="10">
        <f t="shared" si="3"/>
        <v>308447</v>
      </c>
      <c r="M7" s="10">
        <v>308447</v>
      </c>
      <c r="N7" s="10">
        <v>2885</v>
      </c>
      <c r="O7" s="10">
        <f t="shared" si="4"/>
        <v>1852792</v>
      </c>
      <c r="P7" s="10">
        <v>1855677</v>
      </c>
      <c r="Q7" s="10">
        <v>2525</v>
      </c>
      <c r="R7" s="10">
        <f t="shared" si="5"/>
        <v>69949</v>
      </c>
      <c r="S7" s="10">
        <v>72474</v>
      </c>
      <c r="T7" s="10">
        <v>3292</v>
      </c>
      <c r="U7" s="10">
        <f t="shared" si="6"/>
        <v>64919</v>
      </c>
      <c r="V7" s="10">
        <v>68211</v>
      </c>
      <c r="W7" s="10">
        <v>1</v>
      </c>
      <c r="X7" s="10">
        <f t="shared" si="7"/>
        <v>2890</v>
      </c>
      <c r="Y7" s="10">
        <v>2891</v>
      </c>
      <c r="Z7" s="10"/>
      <c r="AA7" s="10">
        <f t="shared" si="8"/>
        <v>2567</v>
      </c>
      <c r="AB7" s="10">
        <v>2567</v>
      </c>
      <c r="AC7" s="10"/>
      <c r="AD7" s="10">
        <f t="shared" si="9"/>
        <v>163</v>
      </c>
      <c r="AE7" s="10">
        <v>163</v>
      </c>
      <c r="AF7" s="10">
        <v>992</v>
      </c>
      <c r="AG7" s="10">
        <f t="shared" si="10"/>
        <v>-992</v>
      </c>
      <c r="AH7" s="10"/>
      <c r="AI7" s="10">
        <v>140</v>
      </c>
      <c r="AJ7" s="10">
        <f t="shared" si="11"/>
        <v>40718</v>
      </c>
      <c r="AK7" s="10">
        <v>40858</v>
      </c>
      <c r="AL7" s="10">
        <v>1023</v>
      </c>
      <c r="AM7" s="10">
        <f t="shared" si="12"/>
        <v>265039</v>
      </c>
      <c r="AN7" s="10">
        <v>266062</v>
      </c>
      <c r="AO7" s="10">
        <v>4445</v>
      </c>
      <c r="AP7" s="10">
        <f t="shared" si="13"/>
        <v>447218</v>
      </c>
      <c r="AQ7" s="10">
        <v>451663</v>
      </c>
      <c r="AR7" s="10">
        <v>13626</v>
      </c>
      <c r="AS7" s="10">
        <f t="shared" si="14"/>
        <v>715383</v>
      </c>
      <c r="AT7" s="10">
        <v>729009</v>
      </c>
      <c r="AU7" s="10">
        <v>9</v>
      </c>
      <c r="AV7" s="10">
        <f t="shared" si="15"/>
        <v>10537</v>
      </c>
      <c r="AW7" s="10">
        <v>10546</v>
      </c>
      <c r="AX7" s="10">
        <v>190</v>
      </c>
      <c r="AY7" s="10">
        <f t="shared" si="16"/>
        <v>55265</v>
      </c>
      <c r="AZ7" s="10">
        <v>55455</v>
      </c>
      <c r="BA7" s="10">
        <v>634</v>
      </c>
      <c r="BB7" s="10">
        <f t="shared" si="17"/>
        <v>15096</v>
      </c>
      <c r="BC7" s="10">
        <v>15730</v>
      </c>
      <c r="BD7" s="10"/>
      <c r="BE7" s="10">
        <f t="shared" si="18"/>
        <v>50976</v>
      </c>
      <c r="BF7" s="10">
        <v>50976</v>
      </c>
      <c r="BG7" s="10"/>
      <c r="BH7" s="10">
        <f t="shared" si="19"/>
        <v>36114</v>
      </c>
      <c r="BI7" s="10">
        <v>36114</v>
      </c>
      <c r="BJ7" s="10">
        <v>24304</v>
      </c>
      <c r="BK7" s="10">
        <f t="shared" si="20"/>
        <v>791921</v>
      </c>
      <c r="BL7" s="10">
        <v>816225</v>
      </c>
      <c r="BM7" s="10">
        <v>17593</v>
      </c>
      <c r="BN7" s="10">
        <f t="shared" si="21"/>
        <v>1365897</v>
      </c>
      <c r="BO7" s="10">
        <v>1383490</v>
      </c>
      <c r="BP7" s="10">
        <v>17494</v>
      </c>
      <c r="BQ7" s="10">
        <f t="shared" si="22"/>
        <v>500918</v>
      </c>
      <c r="BR7" s="10">
        <v>518412</v>
      </c>
      <c r="BS7" s="10">
        <v>25</v>
      </c>
      <c r="BT7" s="10">
        <f t="shared" si="23"/>
        <v>39</v>
      </c>
      <c r="BU7" s="10">
        <v>64</v>
      </c>
      <c r="BV7" s="10">
        <v>3512</v>
      </c>
      <c r="BW7" s="10">
        <f t="shared" si="24"/>
        <v>429761</v>
      </c>
      <c r="BX7" s="10">
        <v>433273</v>
      </c>
      <c r="BY7" s="10"/>
      <c r="BZ7" s="10">
        <f t="shared" si="25"/>
        <v>0</v>
      </c>
      <c r="CA7" s="10"/>
      <c r="CB7" s="10"/>
      <c r="CC7" s="10">
        <f t="shared" si="26"/>
        <v>269476</v>
      </c>
      <c r="CD7" s="10">
        <v>269476</v>
      </c>
      <c r="CE7" s="10">
        <v>1560</v>
      </c>
      <c r="CF7" s="10">
        <f t="shared" si="27"/>
        <v>95650</v>
      </c>
      <c r="CG7" s="10">
        <v>97210</v>
      </c>
      <c r="CH7" s="10">
        <v>570</v>
      </c>
      <c r="CI7" s="10">
        <f t="shared" si="28"/>
        <v>61646</v>
      </c>
      <c r="CJ7" s="10">
        <v>62216</v>
      </c>
      <c r="CK7" s="10">
        <v>3036</v>
      </c>
      <c r="CL7" s="10">
        <f t="shared" si="29"/>
        <v>32749</v>
      </c>
      <c r="CM7" s="10">
        <v>35785</v>
      </c>
      <c r="CN7" s="10"/>
      <c r="CO7" s="10">
        <f t="shared" si="30"/>
        <v>266590</v>
      </c>
      <c r="CP7" s="10">
        <v>266590</v>
      </c>
      <c r="CQ7" s="10">
        <v>1702</v>
      </c>
      <c r="CR7" s="10">
        <f t="shared" si="31"/>
        <v>280687</v>
      </c>
      <c r="CS7" s="10">
        <v>282389</v>
      </c>
      <c r="CT7" s="10">
        <v>13687</v>
      </c>
      <c r="CU7" s="10">
        <f t="shared" si="32"/>
        <v>1250896</v>
      </c>
      <c r="CV7" s="10">
        <v>1264583</v>
      </c>
      <c r="CW7" s="10">
        <v>1054</v>
      </c>
      <c r="CX7" s="10">
        <f t="shared" si="33"/>
        <v>114436</v>
      </c>
      <c r="CY7" s="10">
        <v>115490</v>
      </c>
    </row>
    <row r="8" spans="1:103" x14ac:dyDescent="0.25">
      <c r="A8" s="10" t="s">
        <v>167</v>
      </c>
      <c r="B8" s="10">
        <v>0</v>
      </c>
      <c r="C8" s="10">
        <f t="shared" si="0"/>
        <v>8308</v>
      </c>
      <c r="D8" s="10">
        <v>8308</v>
      </c>
      <c r="E8" s="10"/>
      <c r="F8" s="10">
        <f t="shared" si="1"/>
        <v>17348</v>
      </c>
      <c r="G8" s="10">
        <v>17348</v>
      </c>
      <c r="H8" s="10"/>
      <c r="I8" s="10">
        <f t="shared" si="2"/>
        <v>-12156</v>
      </c>
      <c r="J8" s="10">
        <v>-12156</v>
      </c>
      <c r="K8" s="10"/>
      <c r="L8" s="10">
        <f t="shared" si="3"/>
        <v>25825</v>
      </c>
      <c r="M8" s="10">
        <v>25825</v>
      </c>
      <c r="N8" s="10">
        <v>598</v>
      </c>
      <c r="O8" s="10">
        <f t="shared" si="4"/>
        <v>13352</v>
      </c>
      <c r="P8" s="10">
        <v>13950</v>
      </c>
      <c r="Q8" s="10">
        <v>0</v>
      </c>
      <c r="R8" s="10">
        <f t="shared" si="5"/>
        <v>2087</v>
      </c>
      <c r="S8" s="10">
        <v>2087</v>
      </c>
      <c r="U8" s="10">
        <f t="shared" si="6"/>
        <v>4716</v>
      </c>
      <c r="V8" s="10">
        <v>4716</v>
      </c>
      <c r="W8" s="10"/>
      <c r="X8" s="10">
        <f t="shared" si="7"/>
        <v>28</v>
      </c>
      <c r="Y8" s="10">
        <v>28</v>
      </c>
      <c r="Z8" s="10"/>
      <c r="AA8" s="10">
        <f t="shared" si="8"/>
        <v>27</v>
      </c>
      <c r="AB8" s="10">
        <v>27</v>
      </c>
      <c r="AC8" s="10"/>
      <c r="AD8" s="10">
        <f t="shared" si="9"/>
        <v>340</v>
      </c>
      <c r="AE8" s="10">
        <v>340</v>
      </c>
      <c r="AF8" s="10">
        <v>164</v>
      </c>
      <c r="AG8" s="10">
        <f t="shared" si="10"/>
        <v>-164</v>
      </c>
      <c r="AH8" s="10"/>
      <c r="AI8" s="10">
        <v>1</v>
      </c>
      <c r="AJ8" s="10">
        <f t="shared" si="11"/>
        <v>3347</v>
      </c>
      <c r="AK8" s="10">
        <v>3348</v>
      </c>
      <c r="AL8" s="10">
        <v>442</v>
      </c>
      <c r="AM8" s="10">
        <f t="shared" si="12"/>
        <v>2515</v>
      </c>
      <c r="AN8" s="10">
        <v>2957</v>
      </c>
      <c r="AO8" s="10">
        <v>659</v>
      </c>
      <c r="AP8" s="10">
        <f t="shared" si="13"/>
        <v>27459</v>
      </c>
      <c r="AQ8" s="10">
        <v>28118</v>
      </c>
      <c r="AR8" s="10">
        <v>0</v>
      </c>
      <c r="AS8" s="10">
        <f t="shared" si="14"/>
        <v>33101</v>
      </c>
      <c r="AT8" s="10">
        <v>33101</v>
      </c>
      <c r="AU8" s="10">
        <v>4</v>
      </c>
      <c r="AV8" s="10">
        <f t="shared" si="15"/>
        <v>1051</v>
      </c>
      <c r="AW8" s="10">
        <v>1055</v>
      </c>
      <c r="AX8" s="10">
        <v>0</v>
      </c>
      <c r="AY8" s="10">
        <f t="shared" si="16"/>
        <v>4247</v>
      </c>
      <c r="AZ8" s="10">
        <v>4247</v>
      </c>
      <c r="BA8" s="10"/>
      <c r="BB8" s="10">
        <f t="shared" si="17"/>
        <v>624</v>
      </c>
      <c r="BC8" s="10">
        <v>624</v>
      </c>
      <c r="BD8" s="10"/>
      <c r="BE8" s="10">
        <f t="shared" si="18"/>
        <v>8135</v>
      </c>
      <c r="BF8" s="10">
        <v>8135</v>
      </c>
      <c r="BG8" s="10"/>
      <c r="BH8" s="10">
        <f t="shared" si="19"/>
        <v>4548</v>
      </c>
      <c r="BI8" s="10">
        <v>4548</v>
      </c>
      <c r="BJ8" s="10">
        <v>12833</v>
      </c>
      <c r="BK8" s="10">
        <f t="shared" si="20"/>
        <v>39076</v>
      </c>
      <c r="BL8" s="10">
        <v>51909</v>
      </c>
      <c r="BM8" s="10">
        <v>526</v>
      </c>
      <c r="BN8" s="10">
        <f t="shared" si="21"/>
        <v>135842</v>
      </c>
      <c r="BO8" s="10">
        <v>136368</v>
      </c>
      <c r="BP8" s="10">
        <v>20</v>
      </c>
      <c r="BQ8" s="10">
        <f t="shared" si="22"/>
        <v>861</v>
      </c>
      <c r="BR8" s="10">
        <v>881</v>
      </c>
      <c r="BS8" s="10"/>
      <c r="BT8" s="10">
        <f t="shared" si="23"/>
        <v>0</v>
      </c>
      <c r="BU8" s="10">
        <v>0</v>
      </c>
      <c r="BV8" s="10">
        <v>23</v>
      </c>
      <c r="BW8" s="10">
        <f t="shared" si="24"/>
        <v>8273</v>
      </c>
      <c r="BX8" s="10">
        <v>8296</v>
      </c>
      <c r="BY8" s="10"/>
      <c r="BZ8" s="10">
        <f t="shared" si="25"/>
        <v>0</v>
      </c>
      <c r="CA8" s="10"/>
      <c r="CB8" s="10"/>
      <c r="CC8" s="10">
        <f t="shared" si="26"/>
        <v>23204</v>
      </c>
      <c r="CD8" s="10">
        <v>23204</v>
      </c>
      <c r="CE8" s="10"/>
      <c r="CF8" s="10">
        <f t="shared" si="27"/>
        <v>2878</v>
      </c>
      <c r="CG8" s="10">
        <v>2878</v>
      </c>
      <c r="CH8" s="10">
        <v>3</v>
      </c>
      <c r="CI8" s="10">
        <f t="shared" si="28"/>
        <v>1883</v>
      </c>
      <c r="CJ8" s="10">
        <v>1886</v>
      </c>
      <c r="CK8" s="10">
        <v>632</v>
      </c>
      <c r="CL8" s="10">
        <f t="shared" si="29"/>
        <v>1234</v>
      </c>
      <c r="CM8" s="10">
        <v>1866</v>
      </c>
      <c r="CN8" s="10"/>
      <c r="CO8" s="10">
        <f t="shared" si="30"/>
        <v>53559</v>
      </c>
      <c r="CP8" s="10">
        <v>53559</v>
      </c>
      <c r="CQ8" s="10"/>
      <c r="CR8" s="10">
        <f t="shared" si="31"/>
        <v>9346</v>
      </c>
      <c r="CS8" s="10">
        <v>9346</v>
      </c>
      <c r="CT8" s="10">
        <v>5262</v>
      </c>
      <c r="CU8" s="10">
        <f t="shared" si="32"/>
        <v>101026</v>
      </c>
      <c r="CV8" s="10">
        <v>106288</v>
      </c>
      <c r="CW8" s="10"/>
      <c r="CX8" s="10">
        <f t="shared" si="33"/>
        <v>5933</v>
      </c>
      <c r="CY8" s="10">
        <v>5933</v>
      </c>
    </row>
    <row r="9" spans="1:103" x14ac:dyDescent="0.25">
      <c r="A9" s="10" t="s">
        <v>168</v>
      </c>
      <c r="B9" s="10">
        <v>0</v>
      </c>
      <c r="C9" s="10">
        <f t="shared" si="0"/>
        <v>5104</v>
      </c>
      <c r="D9" s="10">
        <v>5104</v>
      </c>
      <c r="E9" s="10"/>
      <c r="F9" s="10">
        <f t="shared" si="1"/>
        <v>0</v>
      </c>
      <c r="G9" s="10"/>
      <c r="H9" s="10"/>
      <c r="I9" s="10">
        <f t="shared" si="2"/>
        <v>-12475</v>
      </c>
      <c r="J9" s="10">
        <v>-12475</v>
      </c>
      <c r="K9" s="10"/>
      <c r="L9" s="10">
        <f t="shared" si="3"/>
        <v>0</v>
      </c>
      <c r="M9" s="10"/>
      <c r="N9" s="10">
        <v>1226</v>
      </c>
      <c r="O9" s="10">
        <f t="shared" si="4"/>
        <v>72152</v>
      </c>
      <c r="P9" s="10">
        <v>73378</v>
      </c>
      <c r="Q9" s="10">
        <v>0</v>
      </c>
      <c r="R9" s="10">
        <f t="shared" si="5"/>
        <v>6564</v>
      </c>
      <c r="S9" s="10">
        <v>6564</v>
      </c>
      <c r="T9" s="10">
        <v>459</v>
      </c>
      <c r="U9" s="10">
        <f t="shared" si="6"/>
        <v>3368</v>
      </c>
      <c r="V9" s="10">
        <v>3827</v>
      </c>
      <c r="W9" s="10">
        <v>2</v>
      </c>
      <c r="X9" s="10">
        <f t="shared" si="7"/>
        <v>452</v>
      </c>
      <c r="Y9" s="10">
        <v>454</v>
      </c>
      <c r="Z9" s="10">
        <v>2</v>
      </c>
      <c r="AA9" s="10">
        <f t="shared" si="8"/>
        <v>93</v>
      </c>
      <c r="AB9" s="10">
        <v>95</v>
      </c>
      <c r="AC9" s="10"/>
      <c r="AD9" s="10">
        <f t="shared" si="9"/>
        <v>0</v>
      </c>
      <c r="AE9" s="10">
        <v>0</v>
      </c>
      <c r="AF9" s="10">
        <v>16</v>
      </c>
      <c r="AG9" s="10">
        <f t="shared" si="10"/>
        <v>-16</v>
      </c>
      <c r="AH9" s="10"/>
      <c r="AI9" s="10">
        <v>30</v>
      </c>
      <c r="AJ9" s="10">
        <f t="shared" si="11"/>
        <v>2807</v>
      </c>
      <c r="AK9" s="10">
        <v>2837</v>
      </c>
      <c r="AL9" s="10">
        <v>17</v>
      </c>
      <c r="AM9" s="10">
        <f t="shared" si="12"/>
        <v>15403</v>
      </c>
      <c r="AN9" s="10">
        <v>15420</v>
      </c>
      <c r="AO9" s="10">
        <v>1261</v>
      </c>
      <c r="AP9" s="10">
        <f t="shared" si="13"/>
        <v>23600</v>
      </c>
      <c r="AQ9" s="10">
        <v>24861</v>
      </c>
      <c r="AR9" s="10">
        <v>860</v>
      </c>
      <c r="AS9" s="10">
        <f t="shared" si="14"/>
        <v>33673</v>
      </c>
      <c r="AT9" s="10">
        <v>34533</v>
      </c>
      <c r="AU9" s="10">
        <v>2</v>
      </c>
      <c r="AV9" s="10">
        <f t="shared" si="15"/>
        <v>982</v>
      </c>
      <c r="AW9" s="10">
        <v>984</v>
      </c>
      <c r="AX9" s="10">
        <v>51</v>
      </c>
      <c r="AY9" s="10">
        <f t="shared" si="16"/>
        <v>4872</v>
      </c>
      <c r="AZ9" s="10">
        <v>4923</v>
      </c>
      <c r="BA9" s="10">
        <v>128</v>
      </c>
      <c r="BB9" s="10">
        <f t="shared" si="17"/>
        <v>2328</v>
      </c>
      <c r="BC9" s="10">
        <v>2456</v>
      </c>
      <c r="BD9" s="10"/>
      <c r="BE9" s="10">
        <f t="shared" si="18"/>
        <v>0</v>
      </c>
      <c r="BF9" s="10"/>
      <c r="BG9" s="10"/>
      <c r="BH9" s="10">
        <f t="shared" si="19"/>
        <v>0</v>
      </c>
      <c r="BI9" s="10"/>
      <c r="BJ9" s="10"/>
      <c r="BK9" s="10">
        <f t="shared" si="20"/>
        <v>0</v>
      </c>
      <c r="BL9" s="10"/>
      <c r="BM9" s="10"/>
      <c r="BN9" s="10">
        <f t="shared" si="21"/>
        <v>0</v>
      </c>
      <c r="BO9" s="10"/>
      <c r="BP9" s="10"/>
      <c r="BQ9" s="10">
        <f t="shared" si="22"/>
        <v>0</v>
      </c>
      <c r="BR9" s="10"/>
      <c r="BS9" s="10"/>
      <c r="BT9" s="10">
        <f t="shared" si="23"/>
        <v>0</v>
      </c>
      <c r="BU9" s="10">
        <v>0</v>
      </c>
      <c r="BV9" s="10">
        <v>1315</v>
      </c>
      <c r="BW9" s="10">
        <f t="shared" si="24"/>
        <v>13452</v>
      </c>
      <c r="BX9" s="10">
        <v>14767</v>
      </c>
      <c r="BY9" s="10"/>
      <c r="BZ9" s="10">
        <f t="shared" si="25"/>
        <v>0</v>
      </c>
      <c r="CA9" s="10"/>
      <c r="CB9" s="10"/>
      <c r="CC9" s="10">
        <f t="shared" si="26"/>
        <v>0</v>
      </c>
      <c r="CD9" s="10"/>
      <c r="CE9" s="10">
        <v>117</v>
      </c>
      <c r="CF9" s="10">
        <f t="shared" si="27"/>
        <v>3935</v>
      </c>
      <c r="CG9" s="10">
        <v>4052</v>
      </c>
      <c r="CH9" s="10">
        <v>149</v>
      </c>
      <c r="CI9" s="10">
        <f t="shared" si="28"/>
        <v>8541</v>
      </c>
      <c r="CJ9" s="10">
        <v>8690</v>
      </c>
      <c r="CK9" s="10">
        <v>45</v>
      </c>
      <c r="CL9" s="10">
        <f t="shared" si="29"/>
        <v>4631</v>
      </c>
      <c r="CM9" s="10">
        <v>4676</v>
      </c>
      <c r="CN9" s="10"/>
      <c r="CO9" s="10">
        <f t="shared" si="30"/>
        <v>0</v>
      </c>
      <c r="CP9" s="10"/>
      <c r="CQ9" s="10">
        <v>714</v>
      </c>
      <c r="CR9" s="10">
        <f t="shared" si="31"/>
        <v>25358</v>
      </c>
      <c r="CS9" s="10">
        <v>26072</v>
      </c>
      <c r="CT9" s="10">
        <v>401</v>
      </c>
      <c r="CU9" s="10">
        <f t="shared" si="32"/>
        <v>16937</v>
      </c>
      <c r="CV9" s="10">
        <v>17338</v>
      </c>
      <c r="CW9" s="10">
        <v>398</v>
      </c>
      <c r="CX9" s="10">
        <f t="shared" si="33"/>
        <v>8867</v>
      </c>
      <c r="CY9" s="10">
        <v>9265</v>
      </c>
    </row>
    <row r="10" spans="1:103" x14ac:dyDescent="0.25">
      <c r="A10" s="10" t="s">
        <v>169</v>
      </c>
      <c r="B10" s="10">
        <v>128</v>
      </c>
      <c r="C10" s="10">
        <f t="shared" si="0"/>
        <v>16999</v>
      </c>
      <c r="D10" s="10">
        <v>17127</v>
      </c>
      <c r="E10" s="10"/>
      <c r="F10" s="10">
        <f t="shared" si="1"/>
        <v>7925</v>
      </c>
      <c r="G10" s="10">
        <v>7925</v>
      </c>
      <c r="H10" s="10"/>
      <c r="I10" s="10">
        <f t="shared" si="2"/>
        <v>4581088</v>
      </c>
      <c r="J10" s="10">
        <v>4581088</v>
      </c>
      <c r="K10" s="10"/>
      <c r="L10" s="10">
        <f t="shared" si="3"/>
        <v>38566</v>
      </c>
      <c r="M10" s="10">
        <v>38566</v>
      </c>
      <c r="N10" s="10">
        <v>51407</v>
      </c>
      <c r="O10" s="10">
        <f t="shared" si="4"/>
        <v>150784</v>
      </c>
      <c r="P10" s="10">
        <v>202191</v>
      </c>
      <c r="Q10" s="10">
        <v>12580</v>
      </c>
      <c r="R10" s="10">
        <f t="shared" si="5"/>
        <v>21558</v>
      </c>
      <c r="S10" s="10">
        <v>34138</v>
      </c>
      <c r="T10" s="10">
        <v>29240</v>
      </c>
      <c r="U10" s="10">
        <f t="shared" si="6"/>
        <v>37760</v>
      </c>
      <c r="V10" s="10">
        <v>67000</v>
      </c>
      <c r="W10" s="10">
        <v>54</v>
      </c>
      <c r="X10" s="10">
        <f t="shared" si="7"/>
        <v>942</v>
      </c>
      <c r="Y10" s="10">
        <v>996</v>
      </c>
      <c r="Z10" s="10">
        <v>79</v>
      </c>
      <c r="AA10" s="10">
        <f t="shared" si="8"/>
        <v>211</v>
      </c>
      <c r="AB10" s="10">
        <v>290</v>
      </c>
      <c r="AC10" s="10"/>
      <c r="AD10" s="10">
        <f t="shared" si="9"/>
        <v>899</v>
      </c>
      <c r="AE10" s="10">
        <v>899</v>
      </c>
      <c r="AF10" s="10">
        <v>7912</v>
      </c>
      <c r="AG10" s="10">
        <f t="shared" si="10"/>
        <v>-7912</v>
      </c>
      <c r="AH10" s="10"/>
      <c r="AI10" s="10">
        <v>1304</v>
      </c>
      <c r="AJ10" s="10">
        <f t="shared" si="11"/>
        <v>8135</v>
      </c>
      <c r="AK10" s="10">
        <v>9439</v>
      </c>
      <c r="AL10" s="10">
        <v>31722</v>
      </c>
      <c r="AM10" s="10">
        <f t="shared" si="12"/>
        <v>113188</v>
      </c>
      <c r="AN10" s="10">
        <v>144910</v>
      </c>
      <c r="AO10" s="10">
        <v>51169</v>
      </c>
      <c r="AP10" s="10">
        <f t="shared" si="13"/>
        <v>164384</v>
      </c>
      <c r="AQ10" s="10">
        <v>215553</v>
      </c>
      <c r="AR10" s="10">
        <v>36288</v>
      </c>
      <c r="AS10" s="10">
        <f t="shared" si="14"/>
        <v>71645</v>
      </c>
      <c r="AT10" s="10">
        <v>107933</v>
      </c>
      <c r="AU10" s="10">
        <v>638</v>
      </c>
      <c r="AV10" s="10">
        <f t="shared" si="15"/>
        <v>3157</v>
      </c>
      <c r="AW10" s="10">
        <v>3795</v>
      </c>
      <c r="AX10" s="10">
        <v>4450</v>
      </c>
      <c r="AY10" s="10">
        <f t="shared" si="16"/>
        <v>9419</v>
      </c>
      <c r="AZ10" s="10">
        <v>13869</v>
      </c>
      <c r="BA10" s="10">
        <v>6319</v>
      </c>
      <c r="BB10" s="10">
        <f t="shared" si="17"/>
        <v>4619</v>
      </c>
      <c r="BC10" s="10">
        <v>10938</v>
      </c>
      <c r="BD10" s="10"/>
      <c r="BE10" s="10">
        <f t="shared" si="18"/>
        <v>4372</v>
      </c>
      <c r="BF10" s="10">
        <v>4372</v>
      </c>
      <c r="BG10" s="10"/>
      <c r="BH10" s="10">
        <f t="shared" si="19"/>
        <v>3161</v>
      </c>
      <c r="BI10" s="10">
        <v>3161</v>
      </c>
      <c r="BJ10" s="10">
        <v>131069</v>
      </c>
      <c r="BK10" s="10">
        <f t="shared" si="20"/>
        <v>594530</v>
      </c>
      <c r="BL10" s="10">
        <v>725599</v>
      </c>
      <c r="BM10" s="10">
        <v>153769</v>
      </c>
      <c r="BN10" s="10">
        <f t="shared" si="21"/>
        <v>294354</v>
      </c>
      <c r="BO10" s="10">
        <v>448123</v>
      </c>
      <c r="BP10" s="10">
        <v>97778</v>
      </c>
      <c r="BQ10" s="10">
        <f t="shared" si="22"/>
        <v>245467</v>
      </c>
      <c r="BR10" s="10">
        <v>343245</v>
      </c>
      <c r="BS10" s="10">
        <v>428</v>
      </c>
      <c r="BT10" s="10">
        <f t="shared" si="23"/>
        <v>260</v>
      </c>
      <c r="BU10" s="10">
        <v>688</v>
      </c>
      <c r="BV10" s="10">
        <v>60526</v>
      </c>
      <c r="BW10" s="10">
        <f t="shared" si="24"/>
        <v>322559</v>
      </c>
      <c r="BX10" s="10">
        <v>383085</v>
      </c>
      <c r="BY10" s="10"/>
      <c r="BZ10" s="10">
        <f t="shared" si="25"/>
        <v>0</v>
      </c>
      <c r="CA10" s="10"/>
      <c r="CB10" s="10"/>
      <c r="CC10" s="10">
        <f t="shared" si="26"/>
        <v>12647</v>
      </c>
      <c r="CD10" s="10">
        <v>12647</v>
      </c>
      <c r="CE10" s="10">
        <v>20555</v>
      </c>
      <c r="CF10" s="10">
        <f t="shared" si="27"/>
        <v>27160</v>
      </c>
      <c r="CG10" s="10">
        <v>47715</v>
      </c>
      <c r="CH10" s="10">
        <v>7002</v>
      </c>
      <c r="CI10" s="10">
        <f t="shared" si="28"/>
        <v>33422</v>
      </c>
      <c r="CJ10" s="10">
        <v>40424</v>
      </c>
      <c r="CK10" s="10">
        <v>44094</v>
      </c>
      <c r="CL10" s="10">
        <f t="shared" si="29"/>
        <v>17737</v>
      </c>
      <c r="CM10" s="10">
        <v>61831</v>
      </c>
      <c r="CN10" s="10"/>
      <c r="CO10" s="10">
        <f t="shared" si="30"/>
        <v>80380</v>
      </c>
      <c r="CP10" s="10">
        <v>80380</v>
      </c>
      <c r="CQ10" s="10">
        <v>20176</v>
      </c>
      <c r="CR10" s="10">
        <f t="shared" si="31"/>
        <v>73726</v>
      </c>
      <c r="CS10" s="10">
        <v>93902</v>
      </c>
      <c r="CT10" s="10">
        <v>176175</v>
      </c>
      <c r="CU10" s="10">
        <f t="shared" si="32"/>
        <v>613597</v>
      </c>
      <c r="CV10" s="10">
        <v>789772</v>
      </c>
      <c r="CW10" s="10">
        <v>7382</v>
      </c>
      <c r="CX10" s="10">
        <f t="shared" si="33"/>
        <v>9695</v>
      </c>
      <c r="CY10" s="10">
        <v>17077</v>
      </c>
    </row>
    <row r="11" spans="1:103" x14ac:dyDescent="0.25">
      <c r="A11" s="10" t="s">
        <v>170</v>
      </c>
      <c r="B11" s="10">
        <v>83</v>
      </c>
      <c r="C11" s="10">
        <f t="shared" si="0"/>
        <v>12032</v>
      </c>
      <c r="D11" s="10">
        <v>12115</v>
      </c>
      <c r="E11" s="10"/>
      <c r="F11" s="10">
        <f t="shared" si="1"/>
        <v>6684</v>
      </c>
      <c r="G11" s="10">
        <v>6684</v>
      </c>
      <c r="H11" s="10"/>
      <c r="I11" s="10">
        <f t="shared" si="2"/>
        <v>511260</v>
      </c>
      <c r="J11" s="10">
        <v>511260</v>
      </c>
      <c r="K11" s="10"/>
      <c r="L11" s="10">
        <f t="shared" si="3"/>
        <v>36679</v>
      </c>
      <c r="M11" s="10">
        <v>36679</v>
      </c>
      <c r="N11" s="10">
        <v>4138</v>
      </c>
      <c r="O11" s="10">
        <f t="shared" si="4"/>
        <v>120414</v>
      </c>
      <c r="P11" s="10">
        <v>124552</v>
      </c>
      <c r="Q11" s="10">
        <v>1132</v>
      </c>
      <c r="R11" s="10">
        <f t="shared" si="5"/>
        <v>16823</v>
      </c>
      <c r="S11" s="10">
        <v>17955</v>
      </c>
      <c r="T11" s="10">
        <v>3941</v>
      </c>
      <c r="U11" s="10">
        <f t="shared" si="6"/>
        <v>19110</v>
      </c>
      <c r="V11" s="10">
        <v>23051</v>
      </c>
      <c r="W11" s="10">
        <v>35</v>
      </c>
      <c r="X11" s="10">
        <f t="shared" si="7"/>
        <v>872</v>
      </c>
      <c r="Y11" s="10">
        <v>907</v>
      </c>
      <c r="Z11" s="10">
        <v>25</v>
      </c>
      <c r="AA11" s="10">
        <f t="shared" si="8"/>
        <v>207</v>
      </c>
      <c r="AB11" s="10">
        <v>232</v>
      </c>
      <c r="AC11" s="10"/>
      <c r="AD11" s="10">
        <f t="shared" si="9"/>
        <v>446</v>
      </c>
      <c r="AE11" s="10">
        <v>446</v>
      </c>
      <c r="AF11" s="10">
        <v>812</v>
      </c>
      <c r="AG11" s="10">
        <f t="shared" si="10"/>
        <v>-812</v>
      </c>
      <c r="AH11" s="10"/>
      <c r="AI11" s="10">
        <v>548</v>
      </c>
      <c r="AJ11" s="10">
        <f t="shared" si="11"/>
        <v>7467</v>
      </c>
      <c r="AK11" s="10">
        <v>8015</v>
      </c>
      <c r="AL11" s="10">
        <v>3123</v>
      </c>
      <c r="AM11" s="10">
        <f t="shared" si="12"/>
        <v>103010</v>
      </c>
      <c r="AN11" s="10">
        <v>106133</v>
      </c>
      <c r="AO11" s="10">
        <v>5229</v>
      </c>
      <c r="AP11" s="10">
        <f t="shared" si="13"/>
        <v>140700</v>
      </c>
      <c r="AQ11" s="10">
        <v>145929</v>
      </c>
      <c r="AR11" s="10">
        <v>3209</v>
      </c>
      <c r="AS11" s="10">
        <f t="shared" si="14"/>
        <v>49616</v>
      </c>
      <c r="AT11" s="10">
        <v>52825</v>
      </c>
      <c r="AU11" s="10">
        <v>122</v>
      </c>
      <c r="AV11" s="10">
        <f t="shared" si="15"/>
        <v>2787</v>
      </c>
      <c r="AW11" s="10">
        <v>2909</v>
      </c>
      <c r="AX11" s="10">
        <v>602</v>
      </c>
      <c r="AY11" s="10">
        <f t="shared" si="16"/>
        <v>7439</v>
      </c>
      <c r="AZ11" s="10">
        <v>8041</v>
      </c>
      <c r="BA11" s="10">
        <v>1061</v>
      </c>
      <c r="BB11" s="10">
        <f t="shared" si="17"/>
        <v>3634</v>
      </c>
      <c r="BC11" s="10">
        <v>4695</v>
      </c>
      <c r="BD11" s="10"/>
      <c r="BE11" s="10">
        <f t="shared" si="18"/>
        <v>4284</v>
      </c>
      <c r="BF11" s="10">
        <v>4284</v>
      </c>
      <c r="BG11" s="10"/>
      <c r="BH11" s="10">
        <f t="shared" si="19"/>
        <v>3073</v>
      </c>
      <c r="BI11" s="10">
        <v>3073</v>
      </c>
      <c r="BJ11" s="10">
        <v>5476</v>
      </c>
      <c r="BK11" s="10">
        <f t="shared" si="20"/>
        <v>223033</v>
      </c>
      <c r="BL11" s="10">
        <v>228509</v>
      </c>
      <c r="BM11" s="10">
        <f>1487+5346</f>
        <v>6833</v>
      </c>
      <c r="BN11" s="10">
        <f t="shared" si="21"/>
        <v>241464</v>
      </c>
      <c r="BO11" s="10">
        <f>194989+53308</f>
        <v>248297</v>
      </c>
      <c r="BP11" s="10">
        <v>2808</v>
      </c>
      <c r="BQ11" s="10">
        <f t="shared" si="22"/>
        <v>228480</v>
      </c>
      <c r="BR11" s="10">
        <v>231288</v>
      </c>
      <c r="BS11" s="10">
        <v>49</v>
      </c>
      <c r="BT11" s="10">
        <f t="shared" si="23"/>
        <v>63</v>
      </c>
      <c r="BU11" s="10">
        <v>112</v>
      </c>
      <c r="BV11" s="10">
        <v>3764</v>
      </c>
      <c r="BW11" s="10">
        <f t="shared" si="24"/>
        <v>299889</v>
      </c>
      <c r="BX11" s="10">
        <v>303653</v>
      </c>
      <c r="BY11" s="10"/>
      <c r="BZ11" s="10">
        <f t="shared" si="25"/>
        <v>0</v>
      </c>
      <c r="CA11" s="10"/>
      <c r="CB11" s="10"/>
      <c r="CC11" s="10">
        <f t="shared" si="26"/>
        <v>9647</v>
      </c>
      <c r="CD11" s="10">
        <v>9647</v>
      </c>
      <c r="CE11" s="10">
        <v>1740</v>
      </c>
      <c r="CF11" s="10">
        <f t="shared" si="27"/>
        <v>19307</v>
      </c>
      <c r="CG11" s="10">
        <v>21047</v>
      </c>
      <c r="CH11" s="10">
        <v>627</v>
      </c>
      <c r="CI11" s="10">
        <f t="shared" si="28"/>
        <v>17006</v>
      </c>
      <c r="CJ11" s="10">
        <v>17633</v>
      </c>
      <c r="CK11" s="10">
        <v>3201</v>
      </c>
      <c r="CL11" s="10">
        <f t="shared" si="29"/>
        <v>12512</v>
      </c>
      <c r="CM11" s="10">
        <v>15713</v>
      </c>
      <c r="CN11" s="10"/>
      <c r="CO11" s="10">
        <f t="shared" si="30"/>
        <v>73225</v>
      </c>
      <c r="CP11" s="10">
        <v>73225</v>
      </c>
      <c r="CQ11" s="10">
        <v>3120</v>
      </c>
      <c r="CR11" s="10">
        <f t="shared" si="31"/>
        <v>54084</v>
      </c>
      <c r="CS11" s="10">
        <v>57204</v>
      </c>
      <c r="CT11" s="10">
        <v>14028</v>
      </c>
      <c r="CU11" s="10">
        <f t="shared" si="32"/>
        <v>323817</v>
      </c>
      <c r="CV11" s="10">
        <v>337845</v>
      </c>
      <c r="CW11" s="10">
        <v>716</v>
      </c>
      <c r="CX11" s="10">
        <f t="shared" si="33"/>
        <v>8563</v>
      </c>
      <c r="CY11" s="10">
        <v>9279</v>
      </c>
    </row>
    <row r="12" spans="1:103" x14ac:dyDescent="0.25">
      <c r="A12" s="10" t="s">
        <v>171</v>
      </c>
      <c r="B12" s="10">
        <v>28</v>
      </c>
      <c r="C12" s="10">
        <f t="shared" si="0"/>
        <v>4107</v>
      </c>
      <c r="D12" s="10">
        <v>4135</v>
      </c>
      <c r="E12" s="10"/>
      <c r="F12" s="10">
        <f t="shared" si="1"/>
        <v>754</v>
      </c>
      <c r="G12" s="10">
        <v>754</v>
      </c>
      <c r="H12" s="10"/>
      <c r="I12" s="10">
        <f t="shared" si="2"/>
        <v>54593</v>
      </c>
      <c r="J12" s="10">
        <v>54593</v>
      </c>
      <c r="K12" s="10"/>
      <c r="L12" s="10">
        <f t="shared" si="3"/>
        <v>399</v>
      </c>
      <c r="M12" s="10">
        <v>399</v>
      </c>
      <c r="N12" s="10">
        <v>3623</v>
      </c>
      <c r="O12" s="10">
        <f t="shared" si="4"/>
        <v>13627</v>
      </c>
      <c r="P12" s="10">
        <v>17250</v>
      </c>
      <c r="Q12" s="10">
        <v>956</v>
      </c>
      <c r="R12" s="10">
        <f t="shared" si="5"/>
        <v>1950</v>
      </c>
      <c r="S12" s="10">
        <v>2906</v>
      </c>
      <c r="T12" s="10">
        <v>3114</v>
      </c>
      <c r="U12" s="10">
        <f t="shared" si="6"/>
        <v>2241</v>
      </c>
      <c r="V12" s="10">
        <v>5355</v>
      </c>
      <c r="W12" s="10">
        <v>12</v>
      </c>
      <c r="X12" s="10">
        <f t="shared" si="7"/>
        <v>59</v>
      </c>
      <c r="Y12" s="10">
        <v>71</v>
      </c>
      <c r="Z12" s="10">
        <v>39</v>
      </c>
      <c r="AA12" s="10">
        <f t="shared" si="8"/>
        <v>4</v>
      </c>
      <c r="AB12" s="10">
        <v>43</v>
      </c>
      <c r="AC12" s="10"/>
      <c r="AD12" s="10">
        <f t="shared" si="9"/>
        <v>194</v>
      </c>
      <c r="AE12" s="10">
        <v>194</v>
      </c>
      <c r="AF12" s="10">
        <v>708</v>
      </c>
      <c r="AG12" s="10">
        <f t="shared" si="10"/>
        <v>-708</v>
      </c>
      <c r="AH12" s="10"/>
      <c r="AI12" s="10">
        <v>320</v>
      </c>
      <c r="AJ12" s="10">
        <f t="shared" si="11"/>
        <v>383</v>
      </c>
      <c r="AK12" s="10">
        <v>703</v>
      </c>
      <c r="AL12" s="10">
        <v>2889</v>
      </c>
      <c r="AM12" s="10">
        <f t="shared" si="12"/>
        <v>4532</v>
      </c>
      <c r="AN12" s="10">
        <v>7421</v>
      </c>
      <c r="AO12" s="10">
        <v>4087</v>
      </c>
      <c r="AP12" s="10">
        <f t="shared" si="13"/>
        <v>6462</v>
      </c>
      <c r="AQ12" s="10">
        <v>10549</v>
      </c>
      <c r="AR12" s="10">
        <v>3831</v>
      </c>
      <c r="AS12" s="10">
        <f t="shared" si="14"/>
        <v>12285</v>
      </c>
      <c r="AT12" s="10">
        <v>16116</v>
      </c>
      <c r="AU12" s="10">
        <v>93</v>
      </c>
      <c r="AV12" s="10">
        <f t="shared" si="15"/>
        <v>215</v>
      </c>
      <c r="AW12" s="10">
        <v>308</v>
      </c>
      <c r="AX12" s="10">
        <v>579</v>
      </c>
      <c r="AY12" s="10">
        <f t="shared" si="16"/>
        <v>798</v>
      </c>
      <c r="AZ12" s="10">
        <v>1377</v>
      </c>
      <c r="BA12" s="10">
        <v>848</v>
      </c>
      <c r="BB12" s="10">
        <f t="shared" si="17"/>
        <v>394</v>
      </c>
      <c r="BC12" s="10">
        <v>1242</v>
      </c>
      <c r="BD12" s="10"/>
      <c r="BE12" s="10">
        <f t="shared" si="18"/>
        <v>80</v>
      </c>
      <c r="BF12" s="10">
        <v>80</v>
      </c>
      <c r="BG12" s="10"/>
      <c r="BH12" s="10">
        <f t="shared" si="19"/>
        <v>66</v>
      </c>
      <c r="BI12" s="10">
        <v>66</v>
      </c>
      <c r="BJ12" s="10">
        <v>7518</v>
      </c>
      <c r="BK12" s="10">
        <f t="shared" si="20"/>
        <v>195749</v>
      </c>
      <c r="BL12" s="10">
        <v>203267</v>
      </c>
      <c r="BM12" s="10">
        <v>10214</v>
      </c>
      <c r="BN12" s="10">
        <f t="shared" si="21"/>
        <v>23679</v>
      </c>
      <c r="BO12" s="10">
        <v>33893</v>
      </c>
      <c r="BP12" s="10">
        <v>4226</v>
      </c>
      <c r="BQ12" s="10">
        <f t="shared" si="22"/>
        <v>7347</v>
      </c>
      <c r="BR12" s="10">
        <v>11573</v>
      </c>
      <c r="BS12" s="10">
        <v>94</v>
      </c>
      <c r="BT12" s="10">
        <f t="shared" si="23"/>
        <v>46</v>
      </c>
      <c r="BU12" s="10">
        <v>140</v>
      </c>
      <c r="BV12" s="10">
        <v>3466</v>
      </c>
      <c r="BW12" s="10">
        <f t="shared" si="24"/>
        <v>4800</v>
      </c>
      <c r="BX12" s="10">
        <v>8266</v>
      </c>
      <c r="BY12" s="10"/>
      <c r="BZ12" s="10">
        <f t="shared" si="25"/>
        <v>0</v>
      </c>
      <c r="CA12" s="10"/>
      <c r="CB12" s="10"/>
      <c r="CC12" s="10">
        <f t="shared" si="26"/>
        <v>1826</v>
      </c>
      <c r="CD12" s="10">
        <v>1826</v>
      </c>
      <c r="CE12" s="10">
        <v>1852</v>
      </c>
      <c r="CF12" s="10">
        <f t="shared" si="27"/>
        <v>3620</v>
      </c>
      <c r="CG12" s="10">
        <v>5472</v>
      </c>
      <c r="CH12" s="10">
        <v>595</v>
      </c>
      <c r="CI12" s="10">
        <f t="shared" si="28"/>
        <v>2488</v>
      </c>
      <c r="CJ12" s="10">
        <v>3083</v>
      </c>
      <c r="CK12" s="10">
        <v>3307</v>
      </c>
      <c r="CL12" s="10">
        <f t="shared" si="29"/>
        <v>1753</v>
      </c>
      <c r="CM12" s="10">
        <v>5060</v>
      </c>
      <c r="CN12" s="10"/>
      <c r="CO12" s="10">
        <f t="shared" si="30"/>
        <v>4423</v>
      </c>
      <c r="CP12" s="10">
        <v>4423</v>
      </c>
      <c r="CQ12" s="10">
        <v>2273</v>
      </c>
      <c r="CR12" s="10">
        <f t="shared" si="31"/>
        <v>11010</v>
      </c>
      <c r="CS12" s="10">
        <v>13283</v>
      </c>
      <c r="CT12" s="10">
        <v>11465</v>
      </c>
      <c r="CU12" s="10">
        <f t="shared" si="32"/>
        <v>84296.8</v>
      </c>
      <c r="CV12" s="10">
        <v>95761.8</v>
      </c>
      <c r="CW12" s="10">
        <v>556</v>
      </c>
      <c r="CX12" s="10">
        <f t="shared" si="33"/>
        <v>635</v>
      </c>
      <c r="CY12" s="10">
        <v>1191</v>
      </c>
    </row>
    <row r="13" spans="1:103" x14ac:dyDescent="0.25">
      <c r="A13" s="10" t="s">
        <v>172</v>
      </c>
      <c r="B13" s="10">
        <v>16</v>
      </c>
      <c r="C13" s="10">
        <f t="shared" si="0"/>
        <v>853</v>
      </c>
      <c r="D13" s="10">
        <v>869</v>
      </c>
      <c r="E13" s="10"/>
      <c r="F13" s="10">
        <f t="shared" si="1"/>
        <v>362</v>
      </c>
      <c r="G13" s="10">
        <v>362</v>
      </c>
      <c r="H13" s="10"/>
      <c r="I13" s="10">
        <f t="shared" si="2"/>
        <v>59764</v>
      </c>
      <c r="J13" s="10">
        <v>59764</v>
      </c>
      <c r="K13" s="10"/>
      <c r="L13" s="10">
        <f t="shared" si="3"/>
        <v>270</v>
      </c>
      <c r="M13" s="10">
        <v>270</v>
      </c>
      <c r="N13" s="10">
        <v>6370</v>
      </c>
      <c r="O13" s="10">
        <f t="shared" si="4"/>
        <v>6336</v>
      </c>
      <c r="P13" s="10">
        <v>12706</v>
      </c>
      <c r="Q13" s="10">
        <v>1269</v>
      </c>
      <c r="R13" s="10">
        <f t="shared" si="5"/>
        <v>810</v>
      </c>
      <c r="S13" s="10">
        <v>2079</v>
      </c>
      <c r="T13" s="10">
        <v>4845</v>
      </c>
      <c r="U13" s="10">
        <f t="shared" si="6"/>
        <v>1092</v>
      </c>
      <c r="V13" s="10">
        <v>5937</v>
      </c>
      <c r="W13" s="10">
        <v>7</v>
      </c>
      <c r="X13" s="10">
        <f t="shared" si="7"/>
        <v>10</v>
      </c>
      <c r="Y13" s="10">
        <v>17</v>
      </c>
      <c r="Z13" s="10">
        <v>15</v>
      </c>
      <c r="AA13" s="10">
        <f t="shared" si="8"/>
        <v>0</v>
      </c>
      <c r="AB13" s="10">
        <v>15</v>
      </c>
      <c r="AC13" s="10"/>
      <c r="AD13" s="10">
        <f t="shared" si="9"/>
        <v>153</v>
      </c>
      <c r="AE13" s="10">
        <v>153</v>
      </c>
      <c r="AF13" s="10">
        <v>1059</v>
      </c>
      <c r="AG13" s="10">
        <f t="shared" si="10"/>
        <v>-1059</v>
      </c>
      <c r="AH13" s="10"/>
      <c r="AI13" s="10">
        <v>361</v>
      </c>
      <c r="AJ13" s="10">
        <f t="shared" si="11"/>
        <v>280</v>
      </c>
      <c r="AK13" s="10">
        <v>641</v>
      </c>
      <c r="AL13" s="10">
        <v>4445</v>
      </c>
      <c r="AM13" s="10">
        <f t="shared" si="12"/>
        <v>1841</v>
      </c>
      <c r="AN13" s="10">
        <v>6286</v>
      </c>
      <c r="AO13" s="10">
        <v>5170</v>
      </c>
      <c r="AP13" s="10">
        <f t="shared" si="13"/>
        <v>6059</v>
      </c>
      <c r="AQ13" s="10">
        <v>11229</v>
      </c>
      <c r="AR13" s="10">
        <v>5733</v>
      </c>
      <c r="AS13" s="10">
        <f t="shared" si="14"/>
        <v>6235</v>
      </c>
      <c r="AT13" s="10">
        <v>11968</v>
      </c>
      <c r="AU13" s="10">
        <v>200</v>
      </c>
      <c r="AV13" s="10">
        <f t="shared" si="15"/>
        <v>120</v>
      </c>
      <c r="AW13" s="10">
        <v>320</v>
      </c>
      <c r="AX13" s="10">
        <v>817</v>
      </c>
      <c r="AY13" s="10">
        <f t="shared" si="16"/>
        <v>612</v>
      </c>
      <c r="AZ13" s="10">
        <v>1429</v>
      </c>
      <c r="BA13" s="10">
        <v>1013</v>
      </c>
      <c r="BB13" s="10">
        <f t="shared" si="17"/>
        <v>138</v>
      </c>
      <c r="BC13" s="10">
        <v>1151</v>
      </c>
      <c r="BD13" s="10"/>
      <c r="BE13" s="10">
        <f t="shared" si="18"/>
        <v>8</v>
      </c>
      <c r="BF13" s="10">
        <v>8</v>
      </c>
      <c r="BG13" s="10"/>
      <c r="BH13" s="10">
        <f t="shared" si="19"/>
        <v>22</v>
      </c>
      <c r="BI13" s="10">
        <v>22</v>
      </c>
      <c r="BJ13" s="10">
        <v>14606</v>
      </c>
      <c r="BK13" s="10">
        <f t="shared" si="20"/>
        <v>20585</v>
      </c>
      <c r="BL13" s="10">
        <v>35191</v>
      </c>
      <c r="BM13" s="10">
        <v>20396</v>
      </c>
      <c r="BN13" s="10">
        <f t="shared" si="21"/>
        <v>13165</v>
      </c>
      <c r="BO13" s="10">
        <v>33561</v>
      </c>
      <c r="BP13" s="10">
        <v>5137</v>
      </c>
      <c r="BQ13" s="10">
        <f t="shared" si="22"/>
        <v>5243</v>
      </c>
      <c r="BR13" s="10">
        <v>10380</v>
      </c>
      <c r="BS13" s="10">
        <v>117</v>
      </c>
      <c r="BT13" s="10">
        <f t="shared" si="23"/>
        <v>74</v>
      </c>
      <c r="BU13" s="10">
        <v>191</v>
      </c>
      <c r="BV13" s="10">
        <v>5751</v>
      </c>
      <c r="BW13" s="10">
        <f t="shared" si="24"/>
        <v>3855</v>
      </c>
      <c r="BX13" s="10">
        <v>9606</v>
      </c>
      <c r="BY13" s="10"/>
      <c r="BZ13" s="10"/>
      <c r="CA13" s="10"/>
      <c r="CB13" s="10"/>
      <c r="CC13" s="10">
        <f t="shared" si="26"/>
        <v>1174</v>
      </c>
      <c r="CD13" s="10">
        <v>1174</v>
      </c>
      <c r="CE13" s="10">
        <v>2911</v>
      </c>
      <c r="CF13" s="10">
        <f t="shared" si="27"/>
        <v>2329</v>
      </c>
      <c r="CG13" s="10">
        <v>5240</v>
      </c>
      <c r="CH13" s="10">
        <v>1003</v>
      </c>
      <c r="CI13" s="10">
        <f t="shared" si="28"/>
        <v>11748</v>
      </c>
      <c r="CJ13" s="10">
        <v>12751</v>
      </c>
      <c r="CK13" s="10">
        <v>5695</v>
      </c>
      <c r="CL13" s="10">
        <f t="shared" si="29"/>
        <v>919</v>
      </c>
      <c r="CM13" s="10">
        <v>6614</v>
      </c>
      <c r="CN13" s="10"/>
      <c r="CO13" s="10">
        <f t="shared" si="30"/>
        <v>2433</v>
      </c>
      <c r="CP13" s="10">
        <v>2433</v>
      </c>
      <c r="CQ13" s="10">
        <v>3451</v>
      </c>
      <c r="CR13" s="10">
        <f t="shared" si="31"/>
        <v>5412</v>
      </c>
      <c r="CS13" s="10">
        <v>8863</v>
      </c>
      <c r="CT13" s="10">
        <v>24768</v>
      </c>
      <c r="CU13" s="10">
        <f t="shared" si="32"/>
        <v>64172</v>
      </c>
      <c r="CV13" s="10">
        <v>88940</v>
      </c>
      <c r="CW13" s="10">
        <v>1015</v>
      </c>
      <c r="CX13" s="10">
        <f t="shared" si="33"/>
        <v>216</v>
      </c>
      <c r="CY13" s="10">
        <v>1231</v>
      </c>
    </row>
    <row r="14" spans="1:103" x14ac:dyDescent="0.25">
      <c r="A14" s="10" t="s">
        <v>173</v>
      </c>
      <c r="B14" s="10">
        <v>1</v>
      </c>
      <c r="C14" s="10">
        <f t="shared" si="0"/>
        <v>7</v>
      </c>
      <c r="D14" s="10">
        <v>8</v>
      </c>
      <c r="E14" s="10"/>
      <c r="F14" s="10">
        <f t="shared" si="1"/>
        <v>125</v>
      </c>
      <c r="G14" s="10">
        <v>125</v>
      </c>
      <c r="H14" s="10"/>
      <c r="I14" s="10">
        <f t="shared" si="2"/>
        <v>87754</v>
      </c>
      <c r="J14" s="10">
        <v>87754</v>
      </c>
      <c r="K14" s="10"/>
      <c r="L14" s="10">
        <f t="shared" si="3"/>
        <v>1218</v>
      </c>
      <c r="M14" s="10">
        <v>1218</v>
      </c>
      <c r="N14" s="10">
        <v>37276</v>
      </c>
      <c r="O14" s="10">
        <f t="shared" si="4"/>
        <v>10407</v>
      </c>
      <c r="P14" s="10">
        <v>47683</v>
      </c>
      <c r="Q14" s="10">
        <v>9223</v>
      </c>
      <c r="R14" s="10">
        <f t="shared" si="5"/>
        <v>1975</v>
      </c>
      <c r="S14" s="10">
        <v>11198</v>
      </c>
      <c r="T14" s="10">
        <v>17340</v>
      </c>
      <c r="U14" s="10">
        <f t="shared" si="6"/>
        <v>15317</v>
      </c>
      <c r="V14" s="10">
        <v>32657</v>
      </c>
      <c r="W14" s="10"/>
      <c r="X14" s="10">
        <f t="shared" si="7"/>
        <v>1</v>
      </c>
      <c r="Y14" s="10">
        <v>1</v>
      </c>
      <c r="Z14" s="10"/>
      <c r="AA14" s="10">
        <f t="shared" si="8"/>
        <v>0</v>
      </c>
      <c r="AB14" s="10"/>
      <c r="AC14" s="10"/>
      <c r="AD14" s="10">
        <f t="shared" si="9"/>
        <v>106</v>
      </c>
      <c r="AE14" s="10">
        <v>106</v>
      </c>
      <c r="AF14" s="10">
        <v>5333</v>
      </c>
      <c r="AG14" s="10">
        <f t="shared" si="10"/>
        <v>-5333</v>
      </c>
      <c r="AH14" s="10"/>
      <c r="AI14" s="10">
        <v>75</v>
      </c>
      <c r="AJ14" s="10">
        <f t="shared" si="11"/>
        <v>5</v>
      </c>
      <c r="AK14" s="10">
        <v>80</v>
      </c>
      <c r="AL14" s="10">
        <v>21265</v>
      </c>
      <c r="AM14" s="10">
        <f t="shared" si="12"/>
        <v>3805</v>
      </c>
      <c r="AN14" s="10">
        <v>25070</v>
      </c>
      <c r="AO14" s="10">
        <v>36683</v>
      </c>
      <c r="AP14" s="10">
        <f t="shared" si="13"/>
        <v>11163</v>
      </c>
      <c r="AQ14" s="10">
        <v>47846</v>
      </c>
      <c r="AR14" s="10">
        <v>23515</v>
      </c>
      <c r="AS14" s="10">
        <f t="shared" si="14"/>
        <v>3509</v>
      </c>
      <c r="AT14" s="10">
        <v>27024</v>
      </c>
      <c r="AU14" s="10">
        <v>223</v>
      </c>
      <c r="AV14" s="10">
        <f t="shared" si="15"/>
        <v>35</v>
      </c>
      <c r="AW14" s="10">
        <v>258</v>
      </c>
      <c r="AX14" s="10">
        <v>2452</v>
      </c>
      <c r="AY14" s="10">
        <f t="shared" si="16"/>
        <v>570</v>
      </c>
      <c r="AZ14" s="10">
        <v>3022</v>
      </c>
      <c r="BA14" s="10">
        <v>3397</v>
      </c>
      <c r="BB14" s="10">
        <f t="shared" si="17"/>
        <v>453</v>
      </c>
      <c r="BC14" s="10">
        <v>3850</v>
      </c>
      <c r="BD14" s="10"/>
      <c r="BE14" s="10">
        <f t="shared" si="18"/>
        <v>0</v>
      </c>
      <c r="BF14" s="10"/>
      <c r="BG14" s="10"/>
      <c r="BH14" s="10">
        <f t="shared" si="19"/>
        <v>0</v>
      </c>
      <c r="BI14" s="10"/>
      <c r="BJ14" s="10">
        <v>103469</v>
      </c>
      <c r="BK14" s="10">
        <f t="shared" si="20"/>
        <v>155163</v>
      </c>
      <c r="BL14" s="10">
        <v>258632</v>
      </c>
      <c r="BM14" s="10">
        <v>116326</v>
      </c>
      <c r="BN14" s="10">
        <f t="shared" si="21"/>
        <v>16046</v>
      </c>
      <c r="BO14" s="10">
        <v>132372</v>
      </c>
      <c r="BP14" s="10">
        <v>85607</v>
      </c>
      <c r="BQ14" s="10">
        <f t="shared" si="22"/>
        <v>4397</v>
      </c>
      <c r="BR14" s="10">
        <v>90004</v>
      </c>
      <c r="BS14" s="10">
        <v>168</v>
      </c>
      <c r="BT14" s="10">
        <f t="shared" si="23"/>
        <v>77</v>
      </c>
      <c r="BU14" s="10">
        <v>245</v>
      </c>
      <c r="BV14" s="10">
        <v>47545</v>
      </c>
      <c r="BW14" s="10">
        <f t="shared" si="24"/>
        <v>14015</v>
      </c>
      <c r="BX14" s="10">
        <v>61560</v>
      </c>
      <c r="BY14" s="10"/>
      <c r="BZ14" s="10"/>
      <c r="CA14" s="10"/>
      <c r="CB14" s="10"/>
      <c r="CC14" s="10">
        <f t="shared" si="26"/>
        <v>0</v>
      </c>
      <c r="CD14" s="10"/>
      <c r="CE14" s="10">
        <v>14052</v>
      </c>
      <c r="CF14" s="10">
        <f t="shared" si="27"/>
        <v>1904</v>
      </c>
      <c r="CG14" s="10">
        <v>15956</v>
      </c>
      <c r="CH14" s="10">
        <f>2523+2254</f>
        <v>4777</v>
      </c>
      <c r="CI14" s="10">
        <f t="shared" si="28"/>
        <v>2180</v>
      </c>
      <c r="CJ14" s="10">
        <f>3667+3290</f>
        <v>6957</v>
      </c>
      <c r="CK14" s="10">
        <v>31891</v>
      </c>
      <c r="CL14" s="10">
        <f t="shared" si="29"/>
        <v>2553</v>
      </c>
      <c r="CM14" s="10">
        <v>34444</v>
      </c>
      <c r="CN14" s="10"/>
      <c r="CO14" s="10">
        <f t="shared" si="30"/>
        <v>299</v>
      </c>
      <c r="CP14" s="10">
        <v>299</v>
      </c>
      <c r="CQ14" s="10">
        <v>11332</v>
      </c>
      <c r="CR14" s="10">
        <f t="shared" si="31"/>
        <v>3220</v>
      </c>
      <c r="CS14" s="10">
        <v>14552</v>
      </c>
      <c r="CT14" s="10">
        <v>125914</v>
      </c>
      <c r="CU14" s="10">
        <f t="shared" si="32"/>
        <v>141311</v>
      </c>
      <c r="CV14" s="10">
        <v>267225</v>
      </c>
      <c r="CW14" s="10">
        <v>5095</v>
      </c>
      <c r="CX14" s="10">
        <f t="shared" si="33"/>
        <v>281</v>
      </c>
      <c r="CY14" s="10">
        <v>5376</v>
      </c>
    </row>
  </sheetData>
  <mergeCells count="34">
    <mergeCell ref="AI3:AK3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C3:AE3"/>
    <mergeCell ref="AF3:AH3"/>
    <mergeCell ref="BS3:BU3"/>
    <mergeCell ref="AL3:AN3"/>
    <mergeCell ref="AO3:AQ3"/>
    <mergeCell ref="AR3:AT3"/>
    <mergeCell ref="AU3:AW3"/>
    <mergeCell ref="AX3:AZ3"/>
    <mergeCell ref="BA3:BC3"/>
    <mergeCell ref="BD3:BF3"/>
    <mergeCell ref="BG3:BI3"/>
    <mergeCell ref="BJ3:BL3"/>
    <mergeCell ref="BM3:BO3"/>
    <mergeCell ref="BP3:BR3"/>
    <mergeCell ref="CQ3:CS3"/>
    <mergeCell ref="CT3:CV3"/>
    <mergeCell ref="CW3:CY3"/>
    <mergeCell ref="BV3:BX3"/>
    <mergeCell ref="CB3:CD3"/>
    <mergeCell ref="CE3:CG3"/>
    <mergeCell ref="CH3:CJ3"/>
    <mergeCell ref="CK3:CM3"/>
    <mergeCell ref="CN3:CP3"/>
    <mergeCell ref="BY3:CA3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2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" sqref="B1"/>
    </sheetView>
  </sheetViews>
  <sheetFormatPr defaultRowHeight="15" x14ac:dyDescent="0.25"/>
  <cols>
    <col min="1" max="1" width="39.28515625" customWidth="1"/>
    <col min="2" max="69" width="16" customWidth="1"/>
  </cols>
  <sheetData>
    <row r="1" spans="1:69" ht="18.75" x14ac:dyDescent="0.3">
      <c r="A1" s="21" t="s">
        <v>139</v>
      </c>
    </row>
    <row r="2" spans="1:69" x14ac:dyDescent="0.25">
      <c r="A2" s="1" t="s">
        <v>0</v>
      </c>
      <c r="B2" s="107" t="s">
        <v>1</v>
      </c>
      <c r="C2" s="108"/>
      <c r="D2" s="107" t="s">
        <v>2</v>
      </c>
      <c r="E2" s="108"/>
      <c r="F2" s="107" t="s">
        <v>3</v>
      </c>
      <c r="G2" s="108"/>
      <c r="H2" s="107" t="s">
        <v>307</v>
      </c>
      <c r="I2" s="108"/>
      <c r="J2" s="107" t="s">
        <v>5</v>
      </c>
      <c r="K2" s="108"/>
      <c r="L2" s="107" t="s">
        <v>6</v>
      </c>
      <c r="M2" s="108"/>
      <c r="N2" s="107" t="s">
        <v>7</v>
      </c>
      <c r="O2" s="108"/>
      <c r="P2" s="107" t="s">
        <v>8</v>
      </c>
      <c r="Q2" s="108"/>
      <c r="R2" s="107" t="s">
        <v>9</v>
      </c>
      <c r="S2" s="108"/>
      <c r="T2" s="107" t="s">
        <v>10</v>
      </c>
      <c r="U2" s="108"/>
      <c r="V2" s="107" t="s">
        <v>11</v>
      </c>
      <c r="W2" s="108"/>
      <c r="X2" s="107" t="s">
        <v>12</v>
      </c>
      <c r="Y2" s="108"/>
      <c r="Z2" s="107" t="s">
        <v>13</v>
      </c>
      <c r="AA2" s="108"/>
      <c r="AB2" s="107" t="s">
        <v>14</v>
      </c>
      <c r="AC2" s="108"/>
      <c r="AD2" s="107" t="s">
        <v>15</v>
      </c>
      <c r="AE2" s="108"/>
      <c r="AF2" s="107" t="s">
        <v>16</v>
      </c>
      <c r="AG2" s="108"/>
      <c r="AH2" s="107" t="s">
        <v>17</v>
      </c>
      <c r="AI2" s="108"/>
      <c r="AJ2" s="107" t="s">
        <v>18</v>
      </c>
      <c r="AK2" s="108"/>
      <c r="AL2" s="107" t="s">
        <v>296</v>
      </c>
      <c r="AM2" s="108"/>
      <c r="AN2" s="107" t="s">
        <v>19</v>
      </c>
      <c r="AO2" s="108"/>
      <c r="AP2" s="107" t="s">
        <v>20</v>
      </c>
      <c r="AQ2" s="108"/>
      <c r="AR2" s="107" t="s">
        <v>21</v>
      </c>
      <c r="AS2" s="108"/>
      <c r="AT2" s="107" t="s">
        <v>22</v>
      </c>
      <c r="AU2" s="108"/>
      <c r="AV2" s="107" t="s">
        <v>23</v>
      </c>
      <c r="AW2" s="108"/>
      <c r="AX2" s="107" t="s">
        <v>24</v>
      </c>
      <c r="AY2" s="108"/>
      <c r="AZ2" s="107" t="s">
        <v>25</v>
      </c>
      <c r="BA2" s="108"/>
      <c r="BB2" s="107" t="s">
        <v>26</v>
      </c>
      <c r="BC2" s="108"/>
      <c r="BD2" s="107" t="s">
        <v>27</v>
      </c>
      <c r="BE2" s="108"/>
      <c r="BF2" s="107" t="s">
        <v>28</v>
      </c>
      <c r="BG2" s="108"/>
      <c r="BH2" s="107" t="s">
        <v>29</v>
      </c>
      <c r="BI2" s="108"/>
      <c r="BJ2" s="107" t="s">
        <v>30</v>
      </c>
      <c r="BK2" s="108"/>
      <c r="BL2" s="107" t="s">
        <v>31</v>
      </c>
      <c r="BM2" s="108"/>
      <c r="BN2" s="111" t="s">
        <v>32</v>
      </c>
      <c r="BO2" s="112"/>
      <c r="BP2" s="107" t="s">
        <v>33</v>
      </c>
      <c r="BQ2" s="108"/>
    </row>
    <row r="3" spans="1:69" ht="30" x14ac:dyDescent="0.25">
      <c r="A3" s="1"/>
      <c r="B3" s="66" t="s">
        <v>294</v>
      </c>
      <c r="C3" s="67" t="s">
        <v>295</v>
      </c>
      <c r="D3" s="66" t="s">
        <v>294</v>
      </c>
      <c r="E3" s="67" t="s">
        <v>295</v>
      </c>
      <c r="F3" s="66" t="s">
        <v>294</v>
      </c>
      <c r="G3" s="67" t="s">
        <v>295</v>
      </c>
      <c r="H3" s="66" t="s">
        <v>294</v>
      </c>
      <c r="I3" s="67" t="s">
        <v>295</v>
      </c>
      <c r="J3" s="66" t="s">
        <v>294</v>
      </c>
      <c r="K3" s="67" t="s">
        <v>295</v>
      </c>
      <c r="L3" s="66" t="s">
        <v>294</v>
      </c>
      <c r="M3" s="67" t="s">
        <v>295</v>
      </c>
      <c r="N3" s="66" t="s">
        <v>294</v>
      </c>
      <c r="O3" s="67" t="s">
        <v>295</v>
      </c>
      <c r="P3" s="66" t="s">
        <v>294</v>
      </c>
      <c r="Q3" s="67" t="s">
        <v>295</v>
      </c>
      <c r="R3" s="66" t="s">
        <v>294</v>
      </c>
      <c r="S3" s="67" t="s">
        <v>295</v>
      </c>
      <c r="T3" s="66" t="s">
        <v>294</v>
      </c>
      <c r="U3" s="67" t="s">
        <v>295</v>
      </c>
      <c r="V3" s="66" t="s">
        <v>294</v>
      </c>
      <c r="W3" s="67" t="s">
        <v>295</v>
      </c>
      <c r="X3" s="66" t="s">
        <v>294</v>
      </c>
      <c r="Y3" s="67" t="s">
        <v>295</v>
      </c>
      <c r="Z3" s="66" t="s">
        <v>294</v>
      </c>
      <c r="AA3" s="67" t="s">
        <v>295</v>
      </c>
      <c r="AB3" s="66" t="s">
        <v>294</v>
      </c>
      <c r="AC3" s="67" t="s">
        <v>295</v>
      </c>
      <c r="AD3" s="66" t="s">
        <v>294</v>
      </c>
      <c r="AE3" s="67" t="s">
        <v>295</v>
      </c>
      <c r="AF3" s="66" t="s">
        <v>294</v>
      </c>
      <c r="AG3" s="67" t="s">
        <v>295</v>
      </c>
      <c r="AH3" s="66" t="s">
        <v>294</v>
      </c>
      <c r="AI3" s="67" t="s">
        <v>295</v>
      </c>
      <c r="AJ3" s="66" t="s">
        <v>294</v>
      </c>
      <c r="AK3" s="67" t="s">
        <v>295</v>
      </c>
      <c r="AL3" s="66" t="s">
        <v>294</v>
      </c>
      <c r="AM3" s="67" t="s">
        <v>295</v>
      </c>
      <c r="AN3" s="66" t="s">
        <v>294</v>
      </c>
      <c r="AO3" s="67" t="s">
        <v>295</v>
      </c>
      <c r="AP3" s="66" t="s">
        <v>294</v>
      </c>
      <c r="AQ3" s="67" t="s">
        <v>295</v>
      </c>
      <c r="AR3" s="66" t="s">
        <v>294</v>
      </c>
      <c r="AS3" s="67" t="s">
        <v>295</v>
      </c>
      <c r="AT3" s="66" t="s">
        <v>294</v>
      </c>
      <c r="AU3" s="67" t="s">
        <v>295</v>
      </c>
      <c r="AV3" s="66" t="s">
        <v>294</v>
      </c>
      <c r="AW3" s="67" t="s">
        <v>295</v>
      </c>
      <c r="AX3" s="66" t="s">
        <v>294</v>
      </c>
      <c r="AY3" s="67" t="s">
        <v>295</v>
      </c>
      <c r="AZ3" s="66" t="s">
        <v>294</v>
      </c>
      <c r="BA3" s="67" t="s">
        <v>295</v>
      </c>
      <c r="BB3" s="66" t="s">
        <v>294</v>
      </c>
      <c r="BC3" s="67" t="s">
        <v>295</v>
      </c>
      <c r="BD3" s="66" t="s">
        <v>294</v>
      </c>
      <c r="BE3" s="67" t="s">
        <v>295</v>
      </c>
      <c r="BF3" s="66" t="s">
        <v>294</v>
      </c>
      <c r="BG3" s="67" t="s">
        <v>295</v>
      </c>
      <c r="BH3" s="66" t="s">
        <v>294</v>
      </c>
      <c r="BI3" s="67" t="s">
        <v>295</v>
      </c>
      <c r="BJ3" s="66" t="s">
        <v>294</v>
      </c>
      <c r="BK3" s="67" t="s">
        <v>295</v>
      </c>
      <c r="BL3" s="66" t="s">
        <v>294</v>
      </c>
      <c r="BM3" s="67" t="s">
        <v>295</v>
      </c>
      <c r="BN3" s="66" t="s">
        <v>294</v>
      </c>
      <c r="BO3" s="67" t="s">
        <v>295</v>
      </c>
      <c r="BP3" s="66" t="s">
        <v>294</v>
      </c>
      <c r="BQ3" s="67" t="s">
        <v>295</v>
      </c>
    </row>
    <row r="4" spans="1:69" x14ac:dyDescent="0.25">
      <c r="A4" s="15" t="s">
        <v>140</v>
      </c>
      <c r="B4" s="46">
        <v>0.72</v>
      </c>
      <c r="C4" s="46">
        <v>2.14</v>
      </c>
      <c r="D4" s="76">
        <v>0.67</v>
      </c>
      <c r="E4" s="76">
        <v>0.73</v>
      </c>
      <c r="F4" s="47">
        <v>-1367.4475</v>
      </c>
      <c r="G4" s="47">
        <v>0.30330000000000001</v>
      </c>
      <c r="H4" s="46">
        <v>0.13</v>
      </c>
      <c r="I4" s="76">
        <v>0.26</v>
      </c>
      <c r="J4" s="100">
        <v>0.2</v>
      </c>
      <c r="K4" s="46">
        <v>0.32</v>
      </c>
      <c r="L4" s="46">
        <v>0.46</v>
      </c>
      <c r="M4" s="46">
        <v>0.47</v>
      </c>
      <c r="N4" s="47">
        <v>-3.1300000000000001E-2</v>
      </c>
      <c r="O4" s="47">
        <v>3.2800000000000003E-2</v>
      </c>
      <c r="P4" s="46">
        <v>2.16</v>
      </c>
      <c r="Q4" s="47">
        <v>-0.37</v>
      </c>
      <c r="R4" s="46">
        <v>0.52</v>
      </c>
      <c r="S4" s="46">
        <v>0.62</v>
      </c>
      <c r="T4" s="47">
        <v>-0.1216</v>
      </c>
      <c r="U4" s="47">
        <v>-8.5699999999999998E-2</v>
      </c>
      <c r="V4" s="46">
        <v>0.66</v>
      </c>
      <c r="W4" s="46">
        <v>0.38</v>
      </c>
      <c r="X4" s="50">
        <v>-0.46</v>
      </c>
      <c r="Y4" s="50">
        <v>1.77</v>
      </c>
      <c r="Z4" s="49">
        <v>-0.18920000000000001</v>
      </c>
      <c r="AA4" s="47">
        <v>6.1899999999999997E-2</v>
      </c>
      <c r="AB4" s="46">
        <v>0</v>
      </c>
      <c r="AC4" s="46">
        <v>-0.08</v>
      </c>
      <c r="AD4" s="47">
        <v>0.2034</v>
      </c>
      <c r="AE4" s="47">
        <v>0.2024</v>
      </c>
      <c r="AF4" s="23">
        <v>0.46</v>
      </c>
      <c r="AG4" s="23">
        <v>0.48</v>
      </c>
      <c r="AH4" s="46">
        <v>0.44</v>
      </c>
      <c r="AI4" s="76">
        <v>0.39</v>
      </c>
      <c r="AJ4" s="46">
        <v>0.30499999999999999</v>
      </c>
      <c r="AK4" s="46">
        <v>0.41799999999999998</v>
      </c>
      <c r="AL4" s="46">
        <v>0.48</v>
      </c>
      <c r="AM4" s="46">
        <v>0.17</v>
      </c>
      <c r="AN4" s="46">
        <v>0.36</v>
      </c>
      <c r="AO4" s="76">
        <v>0.33</v>
      </c>
      <c r="AP4" s="47">
        <v>1.7037663639744974E-2</v>
      </c>
      <c r="AQ4" s="47">
        <v>4.5718400614285726E-2</v>
      </c>
      <c r="AR4" s="36">
        <v>2.1800000000000002</v>
      </c>
      <c r="AS4" s="36">
        <v>14.09</v>
      </c>
      <c r="AT4" s="36"/>
      <c r="AU4" s="36"/>
      <c r="AV4" s="47">
        <v>0.43080000000000002</v>
      </c>
      <c r="AW4" s="47">
        <v>0.27979999999999999</v>
      </c>
      <c r="AX4" s="76">
        <v>0.2</v>
      </c>
      <c r="AY4" s="76">
        <v>0.23</v>
      </c>
      <c r="AZ4" s="36"/>
      <c r="BA4" s="36"/>
      <c r="BB4" s="36">
        <v>0.1</v>
      </c>
      <c r="BC4" s="36">
        <v>0.32</v>
      </c>
      <c r="BD4" s="47">
        <v>0.39500000000000002</v>
      </c>
      <c r="BE4" s="47">
        <v>0.13900000000000001</v>
      </c>
      <c r="BF4" s="47">
        <v>0.37130000000000002</v>
      </c>
      <c r="BG4" s="47">
        <v>0.45629999999999998</v>
      </c>
      <c r="BH4" s="47">
        <v>7.4800000000000005E-2</v>
      </c>
      <c r="BI4" s="47">
        <v>7.9899999999999999E-2</v>
      </c>
      <c r="BJ4" s="46">
        <v>0.31</v>
      </c>
      <c r="BK4" s="46">
        <v>0.34</v>
      </c>
      <c r="BL4" s="46">
        <v>-0.28000000000000003</v>
      </c>
      <c r="BM4" s="46">
        <v>0</v>
      </c>
      <c r="BN4" s="47">
        <v>9.7500000000000003E-2</v>
      </c>
      <c r="BO4" s="47">
        <v>0.1013</v>
      </c>
      <c r="BP4" s="47">
        <v>-7.3800000000000004E-2</v>
      </c>
      <c r="BQ4" s="47">
        <v>0.14649999999999999</v>
      </c>
    </row>
    <row r="5" spans="1:69" ht="15" customHeight="1" x14ac:dyDescent="0.25">
      <c r="A5" s="15" t="s">
        <v>141</v>
      </c>
      <c r="B5" s="36"/>
      <c r="C5" s="46"/>
      <c r="D5" s="76">
        <v>0.74</v>
      </c>
      <c r="E5" s="76">
        <v>1.75</v>
      </c>
      <c r="F5" s="47"/>
      <c r="G5" s="47"/>
      <c r="H5" s="36"/>
      <c r="I5" s="36"/>
      <c r="J5" s="46">
        <v>0.53</v>
      </c>
      <c r="K5" s="47">
        <v>1.7943</v>
      </c>
      <c r="L5" s="36">
        <v>1.42</v>
      </c>
      <c r="M5" s="36">
        <v>4.09</v>
      </c>
      <c r="N5" s="36">
        <v>0.73</v>
      </c>
      <c r="O5" s="36">
        <v>2.12</v>
      </c>
      <c r="P5" s="36"/>
      <c r="Q5" s="36"/>
      <c r="R5" s="36"/>
      <c r="S5" s="36"/>
      <c r="T5" s="36"/>
      <c r="U5" s="36"/>
      <c r="V5" s="36"/>
      <c r="W5" s="36"/>
      <c r="X5" s="36">
        <v>1.1000000000000001</v>
      </c>
      <c r="Y5" s="36">
        <v>2.69</v>
      </c>
      <c r="Z5" s="36">
        <v>3.04</v>
      </c>
      <c r="AA5" s="36">
        <v>3.04</v>
      </c>
      <c r="AB5" s="36">
        <v>0.63</v>
      </c>
      <c r="AC5" s="36">
        <v>1.73</v>
      </c>
      <c r="AD5" s="47"/>
      <c r="AE5" s="47"/>
      <c r="AF5" s="46"/>
      <c r="AG5" s="36"/>
      <c r="AH5" s="36">
        <v>0.63</v>
      </c>
      <c r="AI5" s="36">
        <v>1.7</v>
      </c>
      <c r="AJ5" s="36">
        <v>0.91</v>
      </c>
      <c r="AK5" s="36">
        <v>2.42</v>
      </c>
      <c r="AL5" s="46"/>
      <c r="AM5" s="46"/>
      <c r="AN5" s="36"/>
      <c r="AO5" s="36"/>
      <c r="AP5" s="36"/>
      <c r="AQ5" s="36"/>
      <c r="AR5" s="36"/>
      <c r="AS5" s="36"/>
      <c r="AT5" s="36"/>
      <c r="AU5" s="36"/>
      <c r="AV5" s="36">
        <v>0.17</v>
      </c>
      <c r="AW5" s="36">
        <v>0.46</v>
      </c>
      <c r="AX5" s="36"/>
      <c r="AY5" s="36"/>
      <c r="AZ5" s="36"/>
      <c r="BA5" s="36"/>
      <c r="BB5" s="36"/>
      <c r="BC5" s="36"/>
      <c r="BD5" s="36">
        <v>0.84</v>
      </c>
      <c r="BE5" s="36">
        <v>2.38</v>
      </c>
      <c r="BF5" s="36"/>
      <c r="BG5" s="36"/>
      <c r="BH5" s="36"/>
      <c r="BI5" s="36"/>
      <c r="BJ5" s="46">
        <v>1.1200000000000001</v>
      </c>
      <c r="BK5" s="46">
        <v>2.99</v>
      </c>
      <c r="BL5" s="36"/>
      <c r="BM5" s="36"/>
      <c r="BN5" s="47">
        <v>-17.091899999999999</v>
      </c>
      <c r="BO5" s="47">
        <v>7.8997000000000002</v>
      </c>
      <c r="BP5" s="36"/>
      <c r="BQ5" s="36"/>
    </row>
    <row r="6" spans="1:69" ht="15" customHeight="1" x14ac:dyDescent="0.25">
      <c r="A6" s="15" t="s">
        <v>142</v>
      </c>
      <c r="B6" s="36">
        <v>0.77</v>
      </c>
      <c r="C6" s="36">
        <v>1.89</v>
      </c>
      <c r="D6" s="76"/>
      <c r="E6" s="76"/>
      <c r="F6" s="23">
        <v>0.35</v>
      </c>
      <c r="G6" s="23">
        <v>1.99</v>
      </c>
      <c r="H6" s="36">
        <v>1.1599999999999999</v>
      </c>
      <c r="I6" s="36">
        <v>3.35</v>
      </c>
      <c r="J6" s="36"/>
      <c r="K6" s="36"/>
      <c r="L6" s="47"/>
      <c r="M6" s="36"/>
      <c r="N6" s="36"/>
      <c r="O6" s="36"/>
      <c r="P6" s="36">
        <v>0.24</v>
      </c>
      <c r="Q6" s="36">
        <v>1.22</v>
      </c>
      <c r="R6" s="36">
        <v>0.32</v>
      </c>
      <c r="S6" s="36">
        <v>0.74</v>
      </c>
      <c r="T6" s="36">
        <v>0.15</v>
      </c>
      <c r="U6" s="36">
        <v>0.15</v>
      </c>
      <c r="V6" s="36">
        <v>1.0900000000000001</v>
      </c>
      <c r="W6" s="36">
        <v>2.67</v>
      </c>
      <c r="X6" s="36"/>
      <c r="Y6" s="36"/>
      <c r="Z6" s="36"/>
      <c r="AA6" s="36"/>
      <c r="AB6" s="36"/>
      <c r="AC6" s="36"/>
      <c r="AD6" s="47"/>
      <c r="AE6" s="23">
        <v>2.54</v>
      </c>
      <c r="AF6" s="36">
        <v>0.71</v>
      </c>
      <c r="AG6" s="36">
        <v>1.77</v>
      </c>
      <c r="AH6" s="36"/>
      <c r="AI6" s="36"/>
      <c r="AJ6" s="36"/>
      <c r="AK6" s="36"/>
      <c r="AL6" s="46">
        <v>1.06</v>
      </c>
      <c r="AM6" s="46">
        <v>2.72</v>
      </c>
      <c r="AN6" s="36">
        <v>1.03</v>
      </c>
      <c r="AO6" s="36">
        <v>2.85</v>
      </c>
      <c r="AP6" s="23">
        <v>35.586809865690668</v>
      </c>
      <c r="AQ6" s="23">
        <v>111.69529678390728</v>
      </c>
      <c r="AR6" s="36">
        <v>0.39</v>
      </c>
      <c r="AS6" s="36">
        <v>1.29</v>
      </c>
      <c r="AT6" s="36"/>
      <c r="AU6" s="36"/>
      <c r="AV6" s="36"/>
      <c r="AW6" s="36"/>
      <c r="AX6" s="36"/>
      <c r="AY6" s="36"/>
      <c r="AZ6" s="36"/>
      <c r="BA6" s="36"/>
      <c r="BB6" s="36">
        <v>1.1200000000000001</v>
      </c>
      <c r="BC6" s="36">
        <v>3.19</v>
      </c>
      <c r="BD6" s="36"/>
      <c r="BE6" s="36"/>
      <c r="BF6" s="36">
        <v>0.83</v>
      </c>
      <c r="BG6" s="36">
        <v>2.33</v>
      </c>
      <c r="BH6" s="47">
        <v>0.32129999999999997</v>
      </c>
      <c r="BI6" s="47">
        <v>0.93149999999999999</v>
      </c>
      <c r="BJ6" s="36"/>
      <c r="BK6" s="36"/>
      <c r="BL6" s="36">
        <v>0.69</v>
      </c>
      <c r="BM6" s="36">
        <v>2.2799999999999998</v>
      </c>
      <c r="BN6" s="36"/>
      <c r="BO6" s="36"/>
      <c r="BP6" s="36">
        <v>1.2</v>
      </c>
      <c r="BQ6" s="36">
        <v>2.4900000000000002</v>
      </c>
    </row>
    <row r="7" spans="1:69" x14ac:dyDescent="0.25">
      <c r="A7" s="15" t="s">
        <v>143</v>
      </c>
      <c r="B7" s="46">
        <v>0.4</v>
      </c>
      <c r="C7" s="46">
        <v>0.4</v>
      </c>
      <c r="D7" s="76"/>
      <c r="E7" s="76"/>
      <c r="F7" s="47">
        <v>6.2700000000000006E-2</v>
      </c>
      <c r="G7" s="47">
        <v>6.2700000000000006E-2</v>
      </c>
      <c r="H7" s="46">
        <v>0.11</v>
      </c>
      <c r="I7" s="46">
        <v>0.12</v>
      </c>
      <c r="J7" s="46"/>
      <c r="K7" s="36"/>
      <c r="L7" s="36"/>
      <c r="M7" s="46"/>
      <c r="N7" s="36"/>
      <c r="O7" s="36"/>
      <c r="P7" s="46">
        <v>-0.21</v>
      </c>
      <c r="Q7" s="46">
        <v>-0.21</v>
      </c>
      <c r="R7" s="46">
        <v>0.11</v>
      </c>
      <c r="S7" s="46">
        <v>0.02</v>
      </c>
      <c r="T7" s="47">
        <v>0.2041</v>
      </c>
      <c r="U7" s="47">
        <v>0.2041</v>
      </c>
      <c r="V7" s="46">
        <v>0.17</v>
      </c>
      <c r="W7" s="46">
        <v>0.17</v>
      </c>
      <c r="X7" s="46"/>
      <c r="Y7" s="46"/>
      <c r="Z7" s="36"/>
      <c r="AA7" s="46"/>
      <c r="AB7" s="36"/>
      <c r="AC7" s="36"/>
      <c r="AD7" s="47"/>
      <c r="AE7" s="47">
        <v>9.5299999999999996E-2</v>
      </c>
      <c r="AF7" s="46">
        <v>0.5</v>
      </c>
      <c r="AG7" s="46">
        <v>0.5</v>
      </c>
      <c r="AH7" s="23">
        <v>0.25</v>
      </c>
      <c r="AI7" s="23">
        <v>0.25</v>
      </c>
      <c r="AJ7" s="36"/>
      <c r="AK7" s="36"/>
      <c r="AL7" s="46"/>
      <c r="AM7" s="46"/>
      <c r="AN7" s="76">
        <v>0.36</v>
      </c>
      <c r="AO7" s="76">
        <v>0.36</v>
      </c>
      <c r="AP7" s="47">
        <v>-0.8265601607301678</v>
      </c>
      <c r="AQ7" s="47">
        <v>-0.8265601607301678</v>
      </c>
      <c r="AR7" s="36"/>
      <c r="AS7" s="36"/>
      <c r="AT7" s="36"/>
      <c r="AU7" s="36"/>
      <c r="AV7" s="36"/>
      <c r="AW7" s="36"/>
      <c r="AX7" s="76"/>
      <c r="AY7" s="76"/>
      <c r="AZ7" s="46"/>
      <c r="BA7" s="46"/>
      <c r="BB7" s="36">
        <v>0.34</v>
      </c>
      <c r="BC7" s="36">
        <v>0.34</v>
      </c>
      <c r="BD7" s="36"/>
      <c r="BE7" s="36"/>
      <c r="BF7" s="47">
        <v>0.15490000000000001</v>
      </c>
      <c r="BG7" s="47">
        <v>0.15490000000000001</v>
      </c>
      <c r="BH7" s="47">
        <v>0.1638</v>
      </c>
      <c r="BI7" s="47">
        <v>0.1638</v>
      </c>
      <c r="BJ7" s="36"/>
      <c r="BK7" s="36"/>
      <c r="BL7" s="46">
        <v>0.06</v>
      </c>
      <c r="BM7" s="46">
        <v>0.25</v>
      </c>
      <c r="BN7" s="36"/>
      <c r="BO7" s="36"/>
      <c r="BP7" s="47">
        <v>0.19259999999999999</v>
      </c>
      <c r="BQ7" s="47">
        <v>0.19259999999999999</v>
      </c>
    </row>
    <row r="8" spans="1:69" x14ac:dyDescent="0.25">
      <c r="A8" s="15" t="s">
        <v>144</v>
      </c>
      <c r="B8" s="36"/>
      <c r="C8" s="46"/>
      <c r="D8" s="76">
        <v>1.3</v>
      </c>
      <c r="E8" s="76">
        <v>1.3</v>
      </c>
      <c r="F8" s="47"/>
      <c r="G8" s="47"/>
      <c r="H8" s="47"/>
      <c r="I8" s="36"/>
      <c r="J8" s="46">
        <v>0.15</v>
      </c>
      <c r="K8" s="46">
        <v>0.13</v>
      </c>
      <c r="L8" s="46">
        <v>0.13</v>
      </c>
      <c r="M8" s="46">
        <v>0.13</v>
      </c>
      <c r="N8" s="47">
        <v>3.7699999999999997E-2</v>
      </c>
      <c r="O8" s="47">
        <v>8.0299999999999996E-2</v>
      </c>
      <c r="P8" s="36"/>
      <c r="Q8" s="36"/>
      <c r="R8" s="36"/>
      <c r="S8" s="36"/>
      <c r="T8" s="46"/>
      <c r="U8" s="76"/>
      <c r="V8" s="36"/>
      <c r="W8" s="36"/>
      <c r="X8" s="47">
        <v>-2.3800000000000002E-2</v>
      </c>
      <c r="Y8" s="47">
        <v>0.1356</v>
      </c>
      <c r="Z8" s="47">
        <v>8.1299999999999997E-2</v>
      </c>
      <c r="AA8" s="47">
        <v>8.1299999999999997E-2</v>
      </c>
      <c r="AB8" s="46">
        <v>0.1</v>
      </c>
      <c r="AC8" s="46">
        <v>0.1</v>
      </c>
      <c r="AD8" s="47"/>
      <c r="AE8" s="47"/>
      <c r="AF8" s="46"/>
      <c r="AG8" s="36"/>
      <c r="AH8" s="36"/>
      <c r="AI8" s="36"/>
      <c r="AJ8" s="47">
        <v>0.29499999999999998</v>
      </c>
      <c r="AK8" s="47">
        <v>0.29499999999999998</v>
      </c>
      <c r="AL8" s="46">
        <v>0.17</v>
      </c>
      <c r="AM8" s="46">
        <v>0.17</v>
      </c>
      <c r="AN8" s="36"/>
      <c r="AO8" s="36"/>
      <c r="AP8" s="36"/>
      <c r="AQ8" s="36"/>
      <c r="AR8" s="36">
        <v>6.6</v>
      </c>
      <c r="AS8" s="36">
        <v>6.6</v>
      </c>
      <c r="AT8" s="36"/>
      <c r="AU8" s="36"/>
      <c r="AV8" s="47">
        <v>-5.11E-2</v>
      </c>
      <c r="AW8" s="47">
        <v>-5.11E-2</v>
      </c>
      <c r="AX8" s="36"/>
      <c r="AY8" s="36"/>
      <c r="AZ8" s="36"/>
      <c r="BA8" s="36"/>
      <c r="BB8" s="36"/>
      <c r="BC8" s="36"/>
      <c r="BD8" s="46">
        <v>0.02</v>
      </c>
      <c r="BE8" s="46">
        <v>0.02</v>
      </c>
      <c r="BF8" s="36"/>
      <c r="BG8" s="36"/>
      <c r="BH8" s="36"/>
      <c r="BI8" s="36"/>
      <c r="BJ8" s="46">
        <v>1.02</v>
      </c>
      <c r="BK8" s="46">
        <v>1.02</v>
      </c>
      <c r="BL8" s="36"/>
      <c r="BM8" s="36"/>
      <c r="BN8" s="47">
        <v>-0.58260000000000001</v>
      </c>
      <c r="BO8" s="47">
        <v>-0.42349999999999999</v>
      </c>
      <c r="BP8" s="36"/>
      <c r="BQ8" s="36"/>
    </row>
    <row r="9" spans="1:69" x14ac:dyDescent="0.25">
      <c r="A9" s="15" t="s">
        <v>145</v>
      </c>
      <c r="B9" s="46">
        <v>0.48</v>
      </c>
      <c r="C9" s="46">
        <v>0.49</v>
      </c>
      <c r="D9" s="76">
        <v>0.79</v>
      </c>
      <c r="E9" s="76">
        <v>0.8</v>
      </c>
      <c r="F9" s="47">
        <v>0.22489999999999999</v>
      </c>
      <c r="G9" s="47">
        <v>0.2243</v>
      </c>
      <c r="H9" s="46">
        <v>0.75</v>
      </c>
      <c r="I9" s="46">
        <v>0.77</v>
      </c>
      <c r="J9" s="46">
        <v>0.72</v>
      </c>
      <c r="K9" s="46">
        <v>0.6</v>
      </c>
      <c r="L9" s="46">
        <v>0.67</v>
      </c>
      <c r="M9" s="46">
        <v>0.63</v>
      </c>
      <c r="N9" s="47">
        <v>0.7843</v>
      </c>
      <c r="O9" s="47">
        <v>0.77449999999999997</v>
      </c>
      <c r="P9" s="46">
        <v>0.68</v>
      </c>
      <c r="Q9" s="46">
        <v>0.75</v>
      </c>
      <c r="R9" s="46">
        <v>0.89</v>
      </c>
      <c r="S9" s="46">
        <v>0.83</v>
      </c>
      <c r="T9" s="47">
        <v>0.76749999999999996</v>
      </c>
      <c r="U9" s="47">
        <v>0.72399999999999998</v>
      </c>
      <c r="V9" s="46">
        <v>0.56999999999999995</v>
      </c>
      <c r="W9" s="95">
        <v>0.61</v>
      </c>
      <c r="X9" s="47">
        <v>1.84E-2</v>
      </c>
      <c r="Y9" s="47">
        <v>0.68049999999999999</v>
      </c>
      <c r="Z9" s="47">
        <v>0.59199999999999997</v>
      </c>
      <c r="AA9" s="47">
        <v>0.48480000000000001</v>
      </c>
      <c r="AB9" s="46">
        <v>0.71</v>
      </c>
      <c r="AC9" s="46">
        <v>0.7</v>
      </c>
      <c r="AD9" s="47">
        <v>0.55269999999999997</v>
      </c>
      <c r="AE9" s="47">
        <v>0.56620000000000004</v>
      </c>
      <c r="AF9" s="46">
        <v>0.88</v>
      </c>
      <c r="AG9" s="46">
        <v>0.87</v>
      </c>
      <c r="AH9" s="46">
        <v>0.9</v>
      </c>
      <c r="AI9" s="46">
        <v>0.85</v>
      </c>
      <c r="AJ9" s="47">
        <v>0.63500000000000001</v>
      </c>
      <c r="AK9" s="47">
        <v>0.622</v>
      </c>
      <c r="AL9" s="46">
        <v>0.95</v>
      </c>
      <c r="AM9" s="46">
        <v>0.95</v>
      </c>
      <c r="AN9" s="76">
        <v>0.77</v>
      </c>
      <c r="AO9" s="76">
        <v>0.77</v>
      </c>
      <c r="AP9" s="47">
        <v>0.59054922774368734</v>
      </c>
      <c r="AQ9" s="47">
        <v>0.61155095563166639</v>
      </c>
      <c r="AR9" s="36">
        <v>84.46</v>
      </c>
      <c r="AS9" s="36">
        <v>78.78</v>
      </c>
      <c r="AT9" s="36"/>
      <c r="AU9" s="36"/>
      <c r="AV9" s="47">
        <v>0.77949999999999997</v>
      </c>
      <c r="AW9" s="47">
        <v>0.75380000000000003</v>
      </c>
      <c r="AX9" s="76">
        <v>0.56000000000000005</v>
      </c>
      <c r="AY9" s="76">
        <v>0.52</v>
      </c>
      <c r="AZ9" s="46"/>
      <c r="BA9" s="46"/>
      <c r="BB9" s="36">
        <v>0.64</v>
      </c>
      <c r="BC9" s="36">
        <v>0.65</v>
      </c>
      <c r="BD9" s="47">
        <v>0.55400000000000005</v>
      </c>
      <c r="BE9" s="47">
        <v>0.61799999999999999</v>
      </c>
      <c r="BF9" s="47">
        <v>0.60250000000000004</v>
      </c>
      <c r="BG9" s="47">
        <v>0.52439999999999998</v>
      </c>
      <c r="BH9" s="47">
        <v>0.92689999999999995</v>
      </c>
      <c r="BI9" s="47">
        <v>0.93220000000000003</v>
      </c>
      <c r="BJ9" s="46">
        <v>0.76</v>
      </c>
      <c r="BK9" s="46">
        <v>0.77</v>
      </c>
      <c r="BL9" s="46">
        <v>0.69</v>
      </c>
      <c r="BM9" s="46">
        <v>0.6</v>
      </c>
      <c r="BN9" s="47">
        <v>0.76249999999999996</v>
      </c>
      <c r="BO9" s="47">
        <v>0.77229999999999999</v>
      </c>
      <c r="BP9" s="47">
        <v>0.4607</v>
      </c>
      <c r="BQ9" s="47">
        <v>0.4592</v>
      </c>
    </row>
    <row r="10" spans="1:69" x14ac:dyDescent="0.25">
      <c r="A10" s="15" t="s">
        <v>146</v>
      </c>
      <c r="B10" s="46">
        <v>-0.06</v>
      </c>
      <c r="C10" s="46">
        <v>-0.08</v>
      </c>
      <c r="D10" s="76">
        <v>0.08</v>
      </c>
      <c r="E10" s="76">
        <v>0.08</v>
      </c>
      <c r="F10" s="47">
        <v>-0.11559999999999999</v>
      </c>
      <c r="G10" s="47">
        <v>-0.1293</v>
      </c>
      <c r="H10" s="46">
        <v>0.08</v>
      </c>
      <c r="I10" s="46">
        <v>0.06</v>
      </c>
      <c r="J10" s="46">
        <v>0.04</v>
      </c>
      <c r="K10" s="46">
        <v>0.01</v>
      </c>
      <c r="L10" s="46">
        <v>0.06</v>
      </c>
      <c r="M10" s="46">
        <v>0.05</v>
      </c>
      <c r="N10" s="47">
        <v>3.2500000000000001E-2</v>
      </c>
      <c r="O10" s="47">
        <v>3.4700000000000002E-2</v>
      </c>
      <c r="P10" s="46">
        <v>-0.09</v>
      </c>
      <c r="Q10" s="46">
        <v>-0.02</v>
      </c>
      <c r="R10" s="46">
        <v>0.09</v>
      </c>
      <c r="S10" s="46">
        <v>0.02</v>
      </c>
      <c r="T10" s="47">
        <v>-0.04</v>
      </c>
      <c r="U10" s="47">
        <v>-4.6300000000000001E-2</v>
      </c>
      <c r="V10" s="46">
        <v>0.03</v>
      </c>
      <c r="W10" s="95">
        <v>0.04</v>
      </c>
      <c r="X10" s="49">
        <v>1.12E-2</v>
      </c>
      <c r="Y10" s="49">
        <v>-3.2800000000000003E-2</v>
      </c>
      <c r="Z10" s="47">
        <v>-2.4299999999999999E-2</v>
      </c>
      <c r="AA10" s="47">
        <v>-4.8899999999999999E-2</v>
      </c>
      <c r="AB10" s="46">
        <v>0.03</v>
      </c>
      <c r="AC10" s="46">
        <v>0.03</v>
      </c>
      <c r="AD10" s="47">
        <v>3.78E-2</v>
      </c>
      <c r="AE10" s="47">
        <v>3.6600000000000001E-2</v>
      </c>
      <c r="AF10" s="46">
        <v>0.08</v>
      </c>
      <c r="AG10" s="46">
        <v>0.08</v>
      </c>
      <c r="AH10" s="46">
        <v>0.1</v>
      </c>
      <c r="AI10" s="46">
        <v>0.11</v>
      </c>
      <c r="AJ10" s="47">
        <v>-9.5000000000000001E-2</v>
      </c>
      <c r="AK10" s="47">
        <v>-8.5999999999999993E-2</v>
      </c>
      <c r="AL10" s="46">
        <v>0.1</v>
      </c>
      <c r="AM10" s="46">
        <v>0.11</v>
      </c>
      <c r="AN10" s="76">
        <v>0.06</v>
      </c>
      <c r="AO10" s="95">
        <v>0.02</v>
      </c>
      <c r="AP10" s="47">
        <v>7.6291482896123489E-2</v>
      </c>
      <c r="AQ10" s="47">
        <v>7.4833793563023013E-2</v>
      </c>
      <c r="AR10" s="36">
        <v>10.32</v>
      </c>
      <c r="AS10" s="36">
        <v>9.1300000000000008</v>
      </c>
      <c r="AT10" s="36"/>
      <c r="AU10" s="36"/>
      <c r="AV10" s="47">
        <v>8.6300000000000002E-2</v>
      </c>
      <c r="AW10" s="47">
        <v>8.7599999999999997E-2</v>
      </c>
      <c r="AX10" s="76">
        <v>-0.06</v>
      </c>
      <c r="AY10" s="76">
        <v>-0.05</v>
      </c>
      <c r="AZ10" s="46"/>
      <c r="BA10" s="46"/>
      <c r="BB10" s="36">
        <v>-0.01</v>
      </c>
      <c r="BC10" s="36">
        <v>-0.02</v>
      </c>
      <c r="BD10" s="47">
        <v>7.0999999999999994E-2</v>
      </c>
      <c r="BE10" s="47">
        <v>5.7000000000000002E-2</v>
      </c>
      <c r="BF10" s="47">
        <v>3.6299999999999999E-2</v>
      </c>
      <c r="BG10" s="47">
        <v>-2.5499999999999998E-2</v>
      </c>
      <c r="BH10" s="47">
        <v>7.17E-2</v>
      </c>
      <c r="BI10" s="47">
        <v>5.4800000000000001E-2</v>
      </c>
      <c r="BJ10" s="46">
        <v>0.1</v>
      </c>
      <c r="BK10" s="46">
        <v>0.09</v>
      </c>
      <c r="BL10" s="46">
        <v>0.02</v>
      </c>
      <c r="BM10" s="46">
        <v>-0.01</v>
      </c>
      <c r="BN10" s="47">
        <v>4.0300000000000002E-2</v>
      </c>
      <c r="BO10" s="47">
        <v>4.7600000000000003E-2</v>
      </c>
      <c r="BP10" s="47">
        <v>2.0199999999999999E-2</v>
      </c>
      <c r="BQ10" s="47">
        <v>3.5000000000000003E-2</v>
      </c>
    </row>
    <row r="11" spans="1:69" ht="30" x14ac:dyDescent="0.25">
      <c r="A11" s="15" t="s">
        <v>147</v>
      </c>
      <c r="B11" s="46">
        <v>0.74</v>
      </c>
      <c r="C11" s="46">
        <v>0.83</v>
      </c>
      <c r="D11" s="76">
        <v>0.69</v>
      </c>
      <c r="E11" s="76">
        <v>0.73</v>
      </c>
      <c r="F11" s="47">
        <v>4.3200000000000002E-2</v>
      </c>
      <c r="G11" s="47">
        <v>2.8500000000000001E-2</v>
      </c>
      <c r="H11" s="46">
        <v>0.39</v>
      </c>
      <c r="I11" s="46">
        <v>0.41</v>
      </c>
      <c r="J11" s="46">
        <v>0.26</v>
      </c>
      <c r="K11" s="46">
        <v>0.24</v>
      </c>
      <c r="L11" s="46">
        <v>0.33</v>
      </c>
      <c r="M11" s="46">
        <v>0.3</v>
      </c>
      <c r="N11" s="47">
        <v>0.32879999999999998</v>
      </c>
      <c r="O11" s="47">
        <v>0.32400000000000001</v>
      </c>
      <c r="P11" s="46">
        <v>1.07</v>
      </c>
      <c r="Q11" s="46">
        <v>0.75</v>
      </c>
      <c r="R11" s="46">
        <v>0.66</v>
      </c>
      <c r="S11" s="46">
        <v>0.72</v>
      </c>
      <c r="T11" s="47">
        <v>0.17680000000000001</v>
      </c>
      <c r="U11" s="47">
        <v>0.31519999999999998</v>
      </c>
      <c r="V11" s="95">
        <v>0.27</v>
      </c>
      <c r="W11" s="95">
        <v>0.31</v>
      </c>
      <c r="X11" s="47">
        <v>-1.9199999999999998E-2</v>
      </c>
      <c r="Y11" s="47">
        <v>0.39050000000000001</v>
      </c>
      <c r="Z11" s="47">
        <v>0.28510000000000002</v>
      </c>
      <c r="AA11" s="47">
        <v>0.2271</v>
      </c>
      <c r="AB11" s="46">
        <v>0.27</v>
      </c>
      <c r="AC11" s="46">
        <v>0.26</v>
      </c>
      <c r="AD11" s="47">
        <v>0.15939999999999999</v>
      </c>
      <c r="AE11" s="47">
        <v>0.15040000000000001</v>
      </c>
      <c r="AF11" s="46">
        <v>0.37</v>
      </c>
      <c r="AG11" s="46">
        <v>0.41</v>
      </c>
      <c r="AH11" s="46">
        <v>0.41</v>
      </c>
      <c r="AI11" s="46">
        <v>0.43</v>
      </c>
      <c r="AJ11" s="47">
        <v>0.33500000000000002</v>
      </c>
      <c r="AK11" s="47">
        <v>0.35399999999999998</v>
      </c>
      <c r="AL11" s="46">
        <v>0.6</v>
      </c>
      <c r="AM11" s="46">
        <v>0.63</v>
      </c>
      <c r="AN11" s="46">
        <v>0.45</v>
      </c>
      <c r="AO11" s="46">
        <v>0.47</v>
      </c>
      <c r="AP11" s="47">
        <v>0.38533066647876463</v>
      </c>
      <c r="AQ11" s="47">
        <v>0.29422470147493746</v>
      </c>
      <c r="AR11" s="36">
        <v>23.55</v>
      </c>
      <c r="AS11" s="36">
        <v>21.13</v>
      </c>
      <c r="AT11" s="36"/>
      <c r="AU11" s="36"/>
      <c r="AV11" s="47">
        <v>0.65900000000000003</v>
      </c>
      <c r="AW11" s="47">
        <v>0.69389999999999996</v>
      </c>
      <c r="AX11" s="76"/>
      <c r="AY11" s="76"/>
      <c r="AZ11" s="46"/>
      <c r="BA11" s="46"/>
      <c r="BB11" s="36">
        <v>0.39</v>
      </c>
      <c r="BC11" s="36">
        <v>0.36</v>
      </c>
      <c r="BD11" s="47">
        <v>0.20200000000000001</v>
      </c>
      <c r="BE11" s="47">
        <v>0.20499999999999999</v>
      </c>
      <c r="BF11" s="47">
        <v>0.2074</v>
      </c>
      <c r="BG11" s="47">
        <v>0.19719999999999999</v>
      </c>
      <c r="BH11" s="47">
        <v>0.27039999999999997</v>
      </c>
      <c r="BI11" s="47">
        <v>0.24010000000000001</v>
      </c>
      <c r="BJ11" s="46">
        <v>0.28999999999999998</v>
      </c>
      <c r="BK11" s="46">
        <v>0.3</v>
      </c>
      <c r="BL11" s="46">
        <v>0.31</v>
      </c>
      <c r="BM11" s="46">
        <v>0.31</v>
      </c>
      <c r="BN11" s="47">
        <v>0.2979</v>
      </c>
      <c r="BO11" s="47">
        <v>0.23799999999999999</v>
      </c>
      <c r="BP11" s="47">
        <v>9.7600000000000006E-2</v>
      </c>
      <c r="BQ11" s="47">
        <v>0.1212</v>
      </c>
    </row>
    <row r="12" spans="1:69" ht="30" x14ac:dyDescent="0.25">
      <c r="A12" s="15" t="s">
        <v>148</v>
      </c>
      <c r="B12" s="46">
        <v>1.54</v>
      </c>
      <c r="C12" s="46">
        <v>1.69</v>
      </c>
      <c r="D12" s="36"/>
      <c r="E12" s="36"/>
      <c r="F12" s="47">
        <v>0.19189999999999999</v>
      </c>
      <c r="G12" s="47">
        <v>0.12720000000000001</v>
      </c>
      <c r="H12" s="46">
        <v>0.52</v>
      </c>
      <c r="I12" s="46">
        <v>0.54</v>
      </c>
      <c r="J12" s="46">
        <v>0.37</v>
      </c>
      <c r="K12" s="46">
        <v>0.39</v>
      </c>
      <c r="L12" s="46">
        <v>0.48</v>
      </c>
      <c r="M12" s="46">
        <v>0.48</v>
      </c>
      <c r="N12" s="47"/>
      <c r="O12" s="47"/>
      <c r="P12" s="46">
        <v>1.57</v>
      </c>
      <c r="Q12" s="46">
        <v>1</v>
      </c>
      <c r="R12" s="46">
        <v>0.71</v>
      </c>
      <c r="S12" s="46">
        <v>0.8</v>
      </c>
      <c r="T12" s="47">
        <v>0.2303</v>
      </c>
      <c r="U12" s="47">
        <v>0.43530000000000002</v>
      </c>
      <c r="V12" s="95">
        <v>0.47</v>
      </c>
      <c r="W12" s="95">
        <v>0.49</v>
      </c>
      <c r="X12" s="47">
        <v>-3.6700000000000003E-2</v>
      </c>
      <c r="Y12" s="47">
        <v>0.51160000000000005</v>
      </c>
      <c r="Z12" s="47">
        <v>0.47549999999999998</v>
      </c>
      <c r="AA12" s="47">
        <v>0.46179999999999999</v>
      </c>
      <c r="AB12" s="46">
        <v>0.37</v>
      </c>
      <c r="AC12" s="46">
        <v>0.37</v>
      </c>
      <c r="AD12" s="47">
        <v>0.28170000000000001</v>
      </c>
      <c r="AE12" s="47">
        <v>0.26140000000000002</v>
      </c>
      <c r="AF12" s="46">
        <v>0.42</v>
      </c>
      <c r="AG12" s="46">
        <v>0.47</v>
      </c>
      <c r="AH12" s="46">
        <v>0.45</v>
      </c>
      <c r="AI12" s="46">
        <v>0.49</v>
      </c>
      <c r="AJ12" s="47">
        <v>0.48699999999999999</v>
      </c>
      <c r="AK12" s="47">
        <v>0.53200000000000003</v>
      </c>
      <c r="AL12" s="47"/>
      <c r="AM12" s="46"/>
      <c r="AN12" s="46">
        <v>0.59</v>
      </c>
      <c r="AO12" s="46">
        <v>0.61</v>
      </c>
      <c r="AP12" s="47">
        <v>0.64559521136012987</v>
      </c>
      <c r="AQ12" s="47">
        <v>0.47309031583581429</v>
      </c>
      <c r="AR12" s="36">
        <v>26.57</v>
      </c>
      <c r="AS12" s="36">
        <v>25.59</v>
      </c>
      <c r="AT12" s="36"/>
      <c r="AU12" s="36"/>
      <c r="AV12" s="36"/>
      <c r="AW12" s="36"/>
      <c r="AX12" s="76"/>
      <c r="AY12" s="76"/>
      <c r="AZ12" s="46"/>
      <c r="BA12" s="46"/>
      <c r="BB12" s="36">
        <v>0.61</v>
      </c>
      <c r="BC12" s="36">
        <v>0.56000000000000005</v>
      </c>
      <c r="BD12" s="46">
        <v>0.36</v>
      </c>
      <c r="BE12" s="47">
        <v>0.32600000000000001</v>
      </c>
      <c r="BF12" s="47">
        <v>0.33689999999999998</v>
      </c>
      <c r="BG12" s="47">
        <v>0.37280000000000002</v>
      </c>
      <c r="BH12" s="47">
        <v>0.29120000000000001</v>
      </c>
      <c r="BI12" s="47">
        <v>0.25690000000000002</v>
      </c>
      <c r="BJ12" s="36"/>
      <c r="BK12" s="36"/>
      <c r="BL12" s="46">
        <v>0.44</v>
      </c>
      <c r="BM12" s="46">
        <v>0.5</v>
      </c>
      <c r="BN12" s="36"/>
      <c r="BO12" s="36"/>
      <c r="BP12" s="47">
        <v>0.2117</v>
      </c>
      <c r="BQ12" s="47">
        <v>0.26329999999999998</v>
      </c>
    </row>
    <row r="13" spans="1:69" ht="15" customHeight="1" x14ac:dyDescent="0.25">
      <c r="A13" s="15" t="s">
        <v>149</v>
      </c>
      <c r="B13" s="46">
        <v>0.59</v>
      </c>
      <c r="C13" s="46">
        <v>0.66</v>
      </c>
      <c r="D13" s="36"/>
      <c r="E13" s="36"/>
      <c r="F13" s="47">
        <v>0.71789999999999998</v>
      </c>
      <c r="G13" s="47">
        <v>1.1739999999999999</v>
      </c>
      <c r="H13" s="46">
        <v>0.77</v>
      </c>
      <c r="I13" s="46">
        <v>0.87</v>
      </c>
      <c r="J13" s="46">
        <v>0.73</v>
      </c>
      <c r="K13" s="46">
        <v>0.73</v>
      </c>
      <c r="L13" s="46">
        <v>0.76</v>
      </c>
      <c r="M13" s="46">
        <v>0.79</v>
      </c>
      <c r="N13" s="47"/>
      <c r="O13" s="47"/>
      <c r="P13" s="46">
        <v>0.85</v>
      </c>
      <c r="Q13" s="46">
        <v>0.51</v>
      </c>
      <c r="R13" s="46">
        <v>1.07</v>
      </c>
      <c r="S13" s="46">
        <v>1.04</v>
      </c>
      <c r="T13" s="47">
        <v>1.1414</v>
      </c>
      <c r="U13" s="47">
        <v>0.75460000000000005</v>
      </c>
      <c r="V13" s="95">
        <v>0.57999999999999996</v>
      </c>
      <c r="W13" s="95">
        <v>0.59</v>
      </c>
      <c r="X13" s="47">
        <v>1.8100000000000002E-2</v>
      </c>
      <c r="Y13" s="47">
        <v>0.74719999999999998</v>
      </c>
      <c r="Z13" s="47">
        <v>0.75880000000000003</v>
      </c>
      <c r="AA13" s="47">
        <v>0.78710000000000002</v>
      </c>
      <c r="AB13" s="46">
        <v>0.72</v>
      </c>
      <c r="AC13" s="46">
        <v>0.74</v>
      </c>
      <c r="AD13" s="47">
        <v>0.8458</v>
      </c>
      <c r="AE13" s="47">
        <v>0.88939999999999997</v>
      </c>
      <c r="AF13" s="46">
        <v>0.68</v>
      </c>
      <c r="AG13" s="46">
        <v>0.7</v>
      </c>
      <c r="AH13" s="46">
        <v>0.71</v>
      </c>
      <c r="AI13" s="46">
        <v>0.74</v>
      </c>
      <c r="AJ13" s="47">
        <v>0.86599999999999999</v>
      </c>
      <c r="AK13" s="47">
        <v>0.84599999999999997</v>
      </c>
      <c r="AL13" s="47"/>
      <c r="AM13" s="46"/>
      <c r="AN13" s="46">
        <v>0.51</v>
      </c>
      <c r="AO13" s="46">
        <v>0.64</v>
      </c>
      <c r="AP13" s="47">
        <v>1.137243181485561</v>
      </c>
      <c r="AQ13" s="47">
        <v>1.0406108622048817</v>
      </c>
      <c r="AR13" s="36">
        <v>89.22</v>
      </c>
      <c r="AS13" s="36">
        <v>91.55</v>
      </c>
      <c r="AT13" s="36"/>
      <c r="AU13" s="36"/>
      <c r="AV13" s="36"/>
      <c r="AW13" s="36"/>
      <c r="AX13" s="76"/>
      <c r="AY13" s="76"/>
      <c r="AZ13" s="46"/>
      <c r="BA13" s="46"/>
      <c r="BB13" s="36">
        <v>0.61</v>
      </c>
      <c r="BC13" s="36">
        <v>0.63</v>
      </c>
      <c r="BD13" s="47">
        <v>0.86799999999999999</v>
      </c>
      <c r="BE13" s="47">
        <v>0.88700000000000001</v>
      </c>
      <c r="BF13" s="47">
        <v>0.74229999999999996</v>
      </c>
      <c r="BG13" s="47">
        <v>0.75600000000000001</v>
      </c>
      <c r="BH13" s="47">
        <v>0.57310000000000005</v>
      </c>
      <c r="BI13" s="47">
        <v>0.65369999999999995</v>
      </c>
      <c r="BJ13" s="36"/>
      <c r="BK13" s="36"/>
      <c r="BL13" s="46">
        <v>0.71</v>
      </c>
      <c r="BM13" s="46">
        <v>0.75</v>
      </c>
      <c r="BN13" s="36"/>
      <c r="BO13" s="36"/>
      <c r="BP13" s="47">
        <v>0.83020000000000005</v>
      </c>
      <c r="BQ13" s="47">
        <v>0.81299999999999994</v>
      </c>
    </row>
    <row r="14" spans="1:69" ht="15" customHeight="1" x14ac:dyDescent="0.25">
      <c r="A14" s="15" t="s">
        <v>150</v>
      </c>
      <c r="B14" s="46">
        <v>2.14</v>
      </c>
      <c r="C14" s="46">
        <v>2.34</v>
      </c>
      <c r="D14" s="76">
        <v>1.26</v>
      </c>
      <c r="E14" s="76">
        <v>1.42</v>
      </c>
      <c r="F14" s="47">
        <v>0.76800000000000002</v>
      </c>
      <c r="G14" s="47">
        <v>1.1592</v>
      </c>
      <c r="H14" s="46">
        <v>1.2</v>
      </c>
      <c r="I14" s="46">
        <v>1.3</v>
      </c>
      <c r="J14" s="46">
        <v>1.04</v>
      </c>
      <c r="K14" s="46">
        <v>1.03</v>
      </c>
      <c r="L14" s="46">
        <v>1.18</v>
      </c>
      <c r="M14" s="46">
        <v>1.21</v>
      </c>
      <c r="N14" s="47">
        <v>1.0611999999999999</v>
      </c>
      <c r="O14" s="47">
        <v>1.0958000000000001</v>
      </c>
      <c r="P14" s="46">
        <v>2.1800000000000002</v>
      </c>
      <c r="Q14" s="46">
        <v>1.39</v>
      </c>
      <c r="R14" s="46">
        <v>1.78</v>
      </c>
      <c r="S14" s="46">
        <v>1.78</v>
      </c>
      <c r="T14" s="47">
        <v>1.3226</v>
      </c>
      <c r="U14" s="47">
        <v>1.1363000000000001</v>
      </c>
      <c r="V14" s="95">
        <v>1</v>
      </c>
      <c r="W14" s="95">
        <v>1.03</v>
      </c>
      <c r="X14" s="47">
        <v>-9.5999999999999992E-3</v>
      </c>
      <c r="Y14" s="47">
        <v>1.1821999999999999</v>
      </c>
      <c r="Z14" s="47">
        <v>1.0488999999999999</v>
      </c>
      <c r="AA14" s="47">
        <v>1.0436000000000001</v>
      </c>
      <c r="AB14" s="46">
        <v>0.99</v>
      </c>
      <c r="AC14" s="46">
        <v>1.01</v>
      </c>
      <c r="AD14" s="47">
        <v>1.0539000000000001</v>
      </c>
      <c r="AE14" s="47">
        <v>1.0750999999999999</v>
      </c>
      <c r="AF14" s="46">
        <v>1.07</v>
      </c>
      <c r="AG14" s="46">
        <v>1.1399999999999999</v>
      </c>
      <c r="AH14" s="46">
        <v>1.1499999999999999</v>
      </c>
      <c r="AI14" s="46">
        <v>1.21</v>
      </c>
      <c r="AJ14" s="47">
        <v>1.1779999999999999</v>
      </c>
      <c r="AK14" s="47">
        <v>1.2050000000000001</v>
      </c>
      <c r="AL14" s="46">
        <v>1.28</v>
      </c>
      <c r="AM14" s="46">
        <v>1.29</v>
      </c>
      <c r="AN14" s="46">
        <v>1</v>
      </c>
      <c r="AO14" s="46">
        <v>1.1100000000000001</v>
      </c>
      <c r="AP14" s="47">
        <v>1.7377404339170104</v>
      </c>
      <c r="AQ14" s="47">
        <v>1.4837579447333935</v>
      </c>
      <c r="AR14" s="36">
        <v>116.17</v>
      </c>
      <c r="AS14" s="36">
        <v>116.37</v>
      </c>
      <c r="AT14" s="36"/>
      <c r="AU14" s="36"/>
      <c r="AV14" s="47">
        <v>1.2425999999999999</v>
      </c>
      <c r="AW14" s="47">
        <v>1.4632000000000001</v>
      </c>
      <c r="AX14" s="76"/>
      <c r="AY14" s="76"/>
      <c r="AZ14" s="46"/>
      <c r="BA14" s="46"/>
      <c r="BB14" s="36">
        <v>1.05</v>
      </c>
      <c r="BC14" s="36">
        <v>1.02</v>
      </c>
      <c r="BD14" s="47">
        <v>1.153</v>
      </c>
      <c r="BE14" s="47">
        <v>1.1359999999999999</v>
      </c>
      <c r="BF14" s="47">
        <v>0.99480000000000002</v>
      </c>
      <c r="BG14" s="47">
        <v>0.96870000000000001</v>
      </c>
      <c r="BH14" s="47">
        <v>0.85770000000000002</v>
      </c>
      <c r="BI14" s="47">
        <v>0.90490000000000004</v>
      </c>
      <c r="BJ14" s="46">
        <v>1.04</v>
      </c>
      <c r="BK14" s="46">
        <v>1.08</v>
      </c>
      <c r="BL14" s="46">
        <v>1.03</v>
      </c>
      <c r="BM14" s="46">
        <v>1.1000000000000001</v>
      </c>
      <c r="BN14" s="47">
        <v>1.2762</v>
      </c>
      <c r="BO14" s="47">
        <v>1.3545</v>
      </c>
      <c r="BP14" s="47">
        <v>0.99819999999999998</v>
      </c>
      <c r="BQ14" s="47">
        <v>1.0262</v>
      </c>
    </row>
    <row r="15" spans="1:69" ht="15" customHeight="1" x14ac:dyDescent="0.25">
      <c r="A15" s="15" t="s">
        <v>151</v>
      </c>
      <c r="B15" s="36">
        <v>2.31</v>
      </c>
      <c r="C15" s="23">
        <v>0.92</v>
      </c>
      <c r="D15" s="76">
        <v>2.04</v>
      </c>
      <c r="E15" s="76">
        <v>0.86</v>
      </c>
      <c r="F15" s="49">
        <v>14.76</v>
      </c>
      <c r="G15" s="47">
        <v>2.6</v>
      </c>
      <c r="H15" s="36">
        <v>2.86</v>
      </c>
      <c r="I15" s="36">
        <v>0.97</v>
      </c>
      <c r="J15" s="36">
        <v>5.73</v>
      </c>
      <c r="K15">
        <v>2.0099999999999998</v>
      </c>
      <c r="L15" s="48">
        <v>5.87</v>
      </c>
      <c r="M15" s="36">
        <v>2.17</v>
      </c>
      <c r="N15" s="36">
        <v>8.5399999999999991</v>
      </c>
      <c r="O15" s="36">
        <v>2.86</v>
      </c>
      <c r="P15" s="36">
        <v>8.68</v>
      </c>
      <c r="Q15" s="36">
        <v>1.56</v>
      </c>
      <c r="R15" s="36">
        <v>3.56</v>
      </c>
      <c r="S15" s="36">
        <v>1.61</v>
      </c>
      <c r="T15" s="36">
        <v>11.67</v>
      </c>
      <c r="U15" s="36">
        <v>11.67</v>
      </c>
      <c r="V15" s="36">
        <v>5.53</v>
      </c>
      <c r="W15" s="36">
        <v>2.06</v>
      </c>
      <c r="X15" s="36">
        <v>-0.52</v>
      </c>
      <c r="Y15" s="36">
        <v>1.37</v>
      </c>
      <c r="Z15" s="36">
        <v>2.14</v>
      </c>
      <c r="AA15" s="36">
        <v>2.14</v>
      </c>
      <c r="AB15" s="36">
        <v>8.81</v>
      </c>
      <c r="AC15" s="36">
        <v>3.25</v>
      </c>
      <c r="AE15" s="47">
        <v>2.0299999999999998</v>
      </c>
      <c r="AF15" s="36">
        <v>4.0199999999999996</v>
      </c>
      <c r="AG15" s="36">
        <v>1.64</v>
      </c>
      <c r="AH15" s="36">
        <v>5.18</v>
      </c>
      <c r="AI15" s="36">
        <v>1.85</v>
      </c>
      <c r="AJ15" s="36">
        <v>6.61</v>
      </c>
      <c r="AK15" s="36">
        <v>2.5499999999999998</v>
      </c>
      <c r="AL15" s="46">
        <v>2.1</v>
      </c>
      <c r="AM15" s="46">
        <v>0.82</v>
      </c>
      <c r="AN15" s="36">
        <v>2.54</v>
      </c>
      <c r="AO15" s="36">
        <v>0.92</v>
      </c>
      <c r="AP15" s="23">
        <v>10.155404971596417</v>
      </c>
      <c r="AQ15" s="23">
        <v>3.1052002946015755</v>
      </c>
      <c r="AR15" s="36">
        <v>6.25</v>
      </c>
      <c r="AS15" s="36">
        <v>2.0299999999999998</v>
      </c>
      <c r="AT15" s="36"/>
      <c r="AU15" s="36"/>
      <c r="AV15" s="36">
        <v>8.08</v>
      </c>
      <c r="AW15" s="36">
        <v>3.11</v>
      </c>
      <c r="AX15" s="36"/>
      <c r="AY15" s="36"/>
      <c r="AZ15" s="36"/>
      <c r="BA15" s="36"/>
      <c r="BB15" s="36">
        <v>2.25</v>
      </c>
      <c r="BC15" s="36">
        <v>0.78</v>
      </c>
      <c r="BD15" s="36">
        <v>2.57</v>
      </c>
      <c r="BE15" s="36">
        <v>2.57</v>
      </c>
      <c r="BF15" s="36">
        <v>4.6500000000000004</v>
      </c>
      <c r="BG15" s="36">
        <v>1.94</v>
      </c>
      <c r="BH15" s="47">
        <v>12.897500000000001</v>
      </c>
      <c r="BI15" s="47">
        <v>4.4204999999999997</v>
      </c>
      <c r="BJ15" s="46">
        <v>2.37</v>
      </c>
      <c r="BK15" s="46">
        <v>0.88</v>
      </c>
      <c r="BL15" s="36">
        <v>6.17</v>
      </c>
      <c r="BM15" s="36">
        <v>2.15</v>
      </c>
      <c r="BN15" s="47">
        <v>7.9687999999999999</v>
      </c>
      <c r="BO15" s="47">
        <v>2.8519999999999999</v>
      </c>
      <c r="BP15" s="36">
        <v>1.75</v>
      </c>
      <c r="BQ15" s="36">
        <v>1.83</v>
      </c>
    </row>
    <row r="16" spans="1:69" x14ac:dyDescent="0.25">
      <c r="A16" s="15" t="s">
        <v>152</v>
      </c>
      <c r="B16" s="36">
        <v>-1.29</v>
      </c>
      <c r="C16" s="23">
        <v>-1.4</v>
      </c>
      <c r="D16" s="76">
        <v>-0.38</v>
      </c>
      <c r="E16" s="76">
        <v>-0.56999999999999995</v>
      </c>
      <c r="F16" s="50">
        <v>0.18</v>
      </c>
      <c r="G16" s="23">
        <v>-0.13</v>
      </c>
      <c r="H16" s="36">
        <v>-0.15</v>
      </c>
      <c r="I16" s="36">
        <v>-0.32</v>
      </c>
      <c r="J16" s="36">
        <v>-0.04</v>
      </c>
      <c r="K16" s="36">
        <v>-0.03</v>
      </c>
      <c r="L16" s="50">
        <v>-0.22</v>
      </c>
      <c r="M16" s="36">
        <v>-0.26</v>
      </c>
      <c r="N16" s="36">
        <v>0.25</v>
      </c>
      <c r="O16" s="36">
        <v>0.01</v>
      </c>
      <c r="P16" s="36">
        <v>-1.86</v>
      </c>
      <c r="Q16" s="23">
        <v>-0.35</v>
      </c>
      <c r="R16" s="36">
        <v>-1.17</v>
      </c>
      <c r="S16" s="36">
        <v>-0.99</v>
      </c>
      <c r="T16" s="49">
        <v>-0.3538</v>
      </c>
      <c r="U16" s="49">
        <v>-9.4700000000000006E-2</v>
      </c>
      <c r="V16" s="50">
        <v>-0.02</v>
      </c>
      <c r="W16" s="50">
        <v>-0.06</v>
      </c>
      <c r="X16" s="36">
        <v>0.02</v>
      </c>
      <c r="Y16" s="36">
        <v>-0.31</v>
      </c>
      <c r="Z16" s="36">
        <v>-0.05</v>
      </c>
      <c r="AA16" s="36">
        <v>-0.05</v>
      </c>
      <c r="AB16" s="36">
        <v>-0.01</v>
      </c>
      <c r="AC16" s="36">
        <v>-0.01</v>
      </c>
      <c r="AD16" s="47">
        <v>-2.75E-2</v>
      </c>
      <c r="AE16" s="47">
        <v>-0.08</v>
      </c>
      <c r="AF16" s="23">
        <v>-0.24</v>
      </c>
      <c r="AG16" s="23">
        <v>-0.26</v>
      </c>
      <c r="AH16" s="36">
        <v>-0.26</v>
      </c>
      <c r="AI16" s="36">
        <v>-0.28999999999999998</v>
      </c>
      <c r="AJ16" s="36">
        <v>-0.26</v>
      </c>
      <c r="AK16" s="36">
        <v>-0.26</v>
      </c>
      <c r="AL16" s="46">
        <v>-0.41</v>
      </c>
      <c r="AM16" s="46">
        <v>-0.34</v>
      </c>
      <c r="AN16" s="36">
        <v>-0.03</v>
      </c>
      <c r="AO16" s="36">
        <v>-0.19</v>
      </c>
      <c r="AP16" s="23">
        <v>-0.72950798829368757</v>
      </c>
      <c r="AQ16" s="23">
        <v>-0.47707228050127615</v>
      </c>
      <c r="AR16" s="36">
        <v>-0.15</v>
      </c>
      <c r="AS16" s="36">
        <v>-0.17</v>
      </c>
      <c r="AT16" s="36"/>
      <c r="AU16" s="36"/>
      <c r="AV16" s="36">
        <v>-0.4</v>
      </c>
      <c r="AW16" s="36">
        <v>-0.53</v>
      </c>
      <c r="AX16" s="36">
        <v>-0.09</v>
      </c>
      <c r="AY16" s="36">
        <v>-0.12</v>
      </c>
      <c r="AZ16" s="36"/>
      <c r="BA16" s="36"/>
      <c r="BB16" s="36">
        <v>-7.0000000000000007E-2</v>
      </c>
      <c r="BC16" s="36">
        <v>-0.05</v>
      </c>
      <c r="BD16" s="36">
        <v>-0.13</v>
      </c>
      <c r="BE16" s="36">
        <v>-0.14000000000000001</v>
      </c>
      <c r="BF16" s="36">
        <v>-0.02</v>
      </c>
      <c r="BG16" s="36">
        <v>0.01</v>
      </c>
      <c r="BH16" s="47">
        <v>0.14410000000000001</v>
      </c>
      <c r="BI16" s="47">
        <v>9.6799999999999997E-2</v>
      </c>
      <c r="BJ16" s="46">
        <v>-0.08</v>
      </c>
      <c r="BK16" s="46">
        <v>-0.12</v>
      </c>
      <c r="BL16" s="36">
        <v>-0.03</v>
      </c>
      <c r="BM16" s="36">
        <v>-0.08</v>
      </c>
      <c r="BN16" s="47">
        <v>-0.28370000000000001</v>
      </c>
      <c r="BO16" s="47">
        <v>-0.3599</v>
      </c>
      <c r="BP16" s="36">
        <v>-0.02</v>
      </c>
      <c r="BQ16" s="36">
        <v>-0.04</v>
      </c>
    </row>
    <row r="17" spans="1:69" x14ac:dyDescent="0.25">
      <c r="A17" s="15" t="s">
        <v>153</v>
      </c>
      <c r="B17" s="46">
        <v>-1.19</v>
      </c>
      <c r="C17" s="46">
        <v>-1.3</v>
      </c>
      <c r="D17" s="76">
        <v>-0.32</v>
      </c>
      <c r="E17" s="76">
        <v>-0.5</v>
      </c>
      <c r="F17" s="47">
        <v>0.90010000000000001</v>
      </c>
      <c r="G17" s="47">
        <v>6.0499999999999998E-2</v>
      </c>
      <c r="H17" s="46">
        <v>-7.0000000000000007E-2</v>
      </c>
      <c r="I17" s="46">
        <v>-0.23</v>
      </c>
      <c r="J17" s="46">
        <v>0.09</v>
      </c>
      <c r="K17" s="46">
        <v>0.12</v>
      </c>
      <c r="L17" s="46">
        <v>-7.0000000000000007E-2</v>
      </c>
      <c r="M17" s="46">
        <v>-0.06</v>
      </c>
      <c r="N17" s="47">
        <v>0.43159999999999998</v>
      </c>
      <c r="O17" s="47">
        <v>0.1938</v>
      </c>
      <c r="P17" s="46">
        <v>-1.51</v>
      </c>
      <c r="Q17" s="46">
        <v>-0.24</v>
      </c>
      <c r="R17" s="46">
        <v>-1.1399999999999999</v>
      </c>
      <c r="S17" s="46">
        <v>-0.94</v>
      </c>
      <c r="T17" s="47">
        <v>0.20300000000000001</v>
      </c>
      <c r="U17" s="47">
        <v>0.55689999999999995</v>
      </c>
      <c r="V17" s="95">
        <v>0.11</v>
      </c>
      <c r="W17" s="95">
        <v>0.08</v>
      </c>
      <c r="X17" s="47">
        <v>2.2499999999999999E-2</v>
      </c>
      <c r="Y17" s="47">
        <v>-0.21729999999999999</v>
      </c>
      <c r="Z17" s="47">
        <v>0.1162</v>
      </c>
      <c r="AA17" s="47">
        <v>9.9000000000000005E-2</v>
      </c>
      <c r="AB17" s="46">
        <v>0.13</v>
      </c>
      <c r="AC17" s="46">
        <v>0.15</v>
      </c>
      <c r="AD17" s="47">
        <v>8.4900000000000003E-2</v>
      </c>
      <c r="AE17" s="47">
        <v>3.2899999999999999E-2</v>
      </c>
      <c r="AF17" s="46">
        <v>-0.14000000000000001</v>
      </c>
      <c r="AG17" s="46">
        <v>-0.13</v>
      </c>
      <c r="AH17" s="46">
        <v>-0.13</v>
      </c>
      <c r="AI17" s="46">
        <v>-0.17</v>
      </c>
      <c r="AJ17" s="46">
        <v>0.02</v>
      </c>
      <c r="AK17" s="102">
        <v>1.6E-2</v>
      </c>
      <c r="AL17" s="46">
        <v>-0.31</v>
      </c>
      <c r="AM17" s="46">
        <v>-0.27</v>
      </c>
      <c r="AN17" s="47">
        <v>2.7E-2</v>
      </c>
      <c r="AO17" s="47">
        <v>-0.13400000000000001</v>
      </c>
      <c r="AP17" s="47">
        <v>-0.50212472063811786</v>
      </c>
      <c r="AQ17" s="47">
        <v>-0.27044045109322523</v>
      </c>
      <c r="AR17" s="36">
        <v>8.9499999999999993</v>
      </c>
      <c r="AS17" s="36">
        <v>3.18</v>
      </c>
      <c r="AT17" s="36"/>
      <c r="AU17" s="36"/>
      <c r="AV17" s="47">
        <v>0.1085</v>
      </c>
      <c r="AW17" s="47">
        <v>5.1999999999999998E-3</v>
      </c>
      <c r="AX17" s="76"/>
      <c r="AY17" s="76"/>
      <c r="AZ17" s="46"/>
      <c r="BA17" s="46"/>
      <c r="BB17" s="36">
        <v>0</v>
      </c>
      <c r="BC17" s="36">
        <v>0.02</v>
      </c>
      <c r="BD17" s="47">
        <v>1.4E-2</v>
      </c>
      <c r="BE17" s="47">
        <v>2E-3</v>
      </c>
      <c r="BF17" s="47">
        <v>9.1800000000000007E-2</v>
      </c>
      <c r="BG17" s="47">
        <v>0.1333</v>
      </c>
      <c r="BH17" s="47">
        <v>0.41810000000000003</v>
      </c>
      <c r="BI17" s="47">
        <v>0.37030000000000002</v>
      </c>
      <c r="BJ17" s="46">
        <v>-0.04</v>
      </c>
      <c r="BK17" s="46">
        <v>-0.08</v>
      </c>
      <c r="BL17" s="46">
        <v>0.13</v>
      </c>
      <c r="BM17" s="46">
        <v>0.08</v>
      </c>
      <c r="BN17" s="47">
        <v>-6.9099999999999995E-2</v>
      </c>
      <c r="BO17" s="47">
        <v>-0.1492</v>
      </c>
      <c r="BP17" s="47">
        <v>7.1599999999999997E-2</v>
      </c>
      <c r="BQ17" s="47">
        <v>7.6999999999999999E-2</v>
      </c>
    </row>
    <row r="18" spans="1:69" x14ac:dyDescent="0.25">
      <c r="A18" s="15" t="s">
        <v>154</v>
      </c>
      <c r="B18" s="36">
        <v>0.38</v>
      </c>
      <c r="C18" s="23">
        <v>0.38</v>
      </c>
      <c r="D18" s="76">
        <v>0.12</v>
      </c>
      <c r="E18" s="76">
        <v>0.12</v>
      </c>
      <c r="F18" s="50">
        <v>2.83</v>
      </c>
      <c r="G18" s="23">
        <v>2.83</v>
      </c>
      <c r="H18" s="36">
        <v>0.48</v>
      </c>
      <c r="I18" s="36">
        <v>0.48</v>
      </c>
      <c r="J18" s="36">
        <v>0.22</v>
      </c>
      <c r="K18" s="36">
        <v>0.22</v>
      </c>
      <c r="L18" s="48">
        <v>0.21</v>
      </c>
      <c r="M18" s="36">
        <v>0.21</v>
      </c>
      <c r="N18" s="23">
        <v>0.3</v>
      </c>
      <c r="O18" s="36">
        <v>0.16</v>
      </c>
      <c r="P18" s="23">
        <v>0.42</v>
      </c>
      <c r="Q18" s="36">
        <v>0.42</v>
      </c>
      <c r="R18" s="36">
        <v>0.43</v>
      </c>
      <c r="S18" s="36">
        <v>0.43</v>
      </c>
      <c r="T18" s="36">
        <v>0.28999999999999998</v>
      </c>
      <c r="U18" s="36">
        <v>0.36</v>
      </c>
      <c r="V18" s="36">
        <v>0.14000000000000001</v>
      </c>
      <c r="W18" s="36">
        <v>0.14000000000000001</v>
      </c>
      <c r="X18" s="47">
        <v>-6.8699999999999997E-2</v>
      </c>
      <c r="Y18" s="47">
        <v>0.1782</v>
      </c>
      <c r="Z18" s="23">
        <v>0.23</v>
      </c>
      <c r="AA18" s="23">
        <v>0.23</v>
      </c>
      <c r="AB18" s="36">
        <v>0.13</v>
      </c>
      <c r="AC18" s="36">
        <v>0.13</v>
      </c>
      <c r="AD18" s="47"/>
      <c r="AE18" s="23">
        <v>0.31</v>
      </c>
      <c r="AF18" s="23">
        <v>0.1</v>
      </c>
      <c r="AG18" s="36">
        <v>0.1</v>
      </c>
      <c r="AH18" s="36">
        <v>0.32</v>
      </c>
      <c r="AI18" s="36">
        <v>0.32</v>
      </c>
      <c r="AJ18" s="36">
        <v>0.21</v>
      </c>
      <c r="AK18" s="36">
        <v>0.21</v>
      </c>
      <c r="AL18" s="46">
        <v>0.38</v>
      </c>
      <c r="AM18" s="46">
        <v>0.38</v>
      </c>
      <c r="AN18" s="46">
        <v>0.57999999999999996</v>
      </c>
      <c r="AO18" s="46">
        <v>0.57999999999999996</v>
      </c>
      <c r="AP18" s="23">
        <v>0.15791203144243252</v>
      </c>
      <c r="AQ18" s="23">
        <v>0.15791203144243252</v>
      </c>
      <c r="AR18" s="36">
        <v>0.38</v>
      </c>
      <c r="AS18" s="36">
        <v>0.38</v>
      </c>
      <c r="AT18" s="36"/>
      <c r="AU18" s="36"/>
      <c r="AV18" s="36">
        <v>0.62</v>
      </c>
      <c r="AW18" s="36">
        <v>0.62</v>
      </c>
      <c r="AX18" s="36"/>
      <c r="AY18" s="36"/>
      <c r="AZ18" s="36"/>
      <c r="BA18" s="36"/>
      <c r="BB18" s="36">
        <v>0.38</v>
      </c>
      <c r="BC18" s="36">
        <v>0.38</v>
      </c>
      <c r="BD18" s="36">
        <v>0.01</v>
      </c>
      <c r="BE18" s="36">
        <v>0.28999999999999998</v>
      </c>
      <c r="BF18" s="36">
        <v>0.3</v>
      </c>
      <c r="BG18" s="36">
        <v>0.3</v>
      </c>
      <c r="BH18" s="47">
        <v>0.2404</v>
      </c>
      <c r="BI18" s="47">
        <v>0.2404</v>
      </c>
      <c r="BJ18" s="46">
        <v>0.27</v>
      </c>
      <c r="BK18" s="46">
        <v>0.27</v>
      </c>
      <c r="BL18" s="36">
        <v>0.23</v>
      </c>
      <c r="BM18" s="36">
        <v>0.23</v>
      </c>
      <c r="BN18" s="36"/>
      <c r="BO18" s="47">
        <v>0.15720000000000001</v>
      </c>
      <c r="BP18" s="36">
        <v>0.52</v>
      </c>
      <c r="BQ18" s="36">
        <v>0.52</v>
      </c>
    </row>
    <row r="19" spans="1:69" x14ac:dyDescent="0.25">
      <c r="A19" s="15" t="s">
        <v>155</v>
      </c>
      <c r="B19" s="46">
        <v>-0.95</v>
      </c>
      <c r="C19" s="46">
        <v>-1.1100000000000001</v>
      </c>
      <c r="D19" s="76">
        <v>-0.28000000000000003</v>
      </c>
      <c r="E19" s="76">
        <v>-0.42</v>
      </c>
      <c r="F19" s="47">
        <v>0.4108</v>
      </c>
      <c r="G19" s="47">
        <v>6.4399999999999999E-2</v>
      </c>
      <c r="H19" s="46">
        <v>-7.0000000000000007E-2</v>
      </c>
      <c r="I19" s="46">
        <v>-0.23</v>
      </c>
      <c r="J19" s="46">
        <v>0.09</v>
      </c>
      <c r="K19" s="46">
        <v>0.11</v>
      </c>
      <c r="L19" s="46">
        <v>-0.09</v>
      </c>
      <c r="M19" s="46">
        <v>-0.09</v>
      </c>
      <c r="N19" s="47">
        <v>6.5799999999999997E-2</v>
      </c>
      <c r="O19" s="47">
        <v>3.4599999999999999E-2</v>
      </c>
      <c r="P19" s="46">
        <v>-1.17</v>
      </c>
      <c r="Q19" s="46">
        <v>-0.28999999999999998</v>
      </c>
      <c r="R19" s="46">
        <v>-1.1200000000000001</v>
      </c>
      <c r="S19" s="46">
        <v>-0.88</v>
      </c>
      <c r="T19" s="47">
        <v>0.39839999999999998</v>
      </c>
      <c r="U19" s="47">
        <v>0.7177</v>
      </c>
      <c r="V19" s="95">
        <v>7.0000000000000007E-2</v>
      </c>
      <c r="W19" s="95">
        <v>0.05</v>
      </c>
      <c r="X19" s="47">
        <v>1.47E-2</v>
      </c>
      <c r="Y19" s="47">
        <v>-0.16839999999999999</v>
      </c>
      <c r="Z19" s="47">
        <v>9.7699999999999995E-2</v>
      </c>
      <c r="AA19" s="47">
        <v>8.6199999999999999E-2</v>
      </c>
      <c r="AB19" s="46">
        <v>0.12</v>
      </c>
      <c r="AC19" s="46">
        <v>0.13</v>
      </c>
      <c r="AD19" s="47">
        <v>0.1104</v>
      </c>
      <c r="AE19" s="47">
        <v>5.1799999999999999E-2</v>
      </c>
      <c r="AF19" s="46">
        <v>-0.08</v>
      </c>
      <c r="AG19" s="46">
        <v>-7.0000000000000007E-2</v>
      </c>
      <c r="AH19" s="46">
        <v>-0.12</v>
      </c>
      <c r="AI19" s="46">
        <v>-0.14000000000000001</v>
      </c>
      <c r="AJ19" s="46">
        <v>0.02</v>
      </c>
      <c r="AK19" s="102">
        <v>1.2E-2</v>
      </c>
      <c r="AL19" s="46">
        <v>-0.25</v>
      </c>
      <c r="AM19" s="46">
        <v>-0.23</v>
      </c>
      <c r="AN19" s="46">
        <v>-0.02</v>
      </c>
      <c r="AO19" s="46">
        <v>-0.16</v>
      </c>
      <c r="AP19" s="47">
        <v>-0.58096729890425725</v>
      </c>
      <c r="AQ19" s="47">
        <v>-0.30952203006234807</v>
      </c>
      <c r="AR19" s="36">
        <v>8.18</v>
      </c>
      <c r="AS19" s="36">
        <v>7.09</v>
      </c>
      <c r="AT19" s="36"/>
      <c r="AU19" s="36"/>
      <c r="AV19" s="47">
        <v>-0.2155</v>
      </c>
      <c r="AW19" s="47">
        <v>-0.41</v>
      </c>
      <c r="AX19" s="76"/>
      <c r="AY19" s="76"/>
      <c r="AZ19" s="46"/>
      <c r="BA19" s="46"/>
      <c r="BB19" s="36">
        <v>0.01</v>
      </c>
      <c r="BC19" s="36">
        <v>0.03</v>
      </c>
      <c r="BD19" s="47">
        <v>1.4999999999999999E-2</v>
      </c>
      <c r="BE19" s="47">
        <v>1.0999999999999999E-2</v>
      </c>
      <c r="BF19" s="47">
        <v>7.5499999999999998E-2</v>
      </c>
      <c r="BG19" s="47">
        <v>0.1079</v>
      </c>
      <c r="BH19" s="47">
        <v>0.3538</v>
      </c>
      <c r="BI19" s="47">
        <v>0.313</v>
      </c>
      <c r="BJ19" s="46">
        <v>-0.02</v>
      </c>
      <c r="BK19" s="46">
        <v>-0.05</v>
      </c>
      <c r="BL19" s="46">
        <v>0.12</v>
      </c>
      <c r="BM19" s="46">
        <v>0.08</v>
      </c>
      <c r="BN19" s="36"/>
      <c r="BO19" s="47">
        <v>-0.13800000000000001</v>
      </c>
      <c r="BP19" s="47">
        <v>5.6099999999999997E-2</v>
      </c>
      <c r="BQ19" s="47">
        <v>6.88E-2</v>
      </c>
    </row>
    <row r="20" spans="1:69" x14ac:dyDescent="0.25">
      <c r="A20" s="15" t="s">
        <v>156</v>
      </c>
      <c r="B20" s="46">
        <v>-0.35</v>
      </c>
      <c r="C20" s="46">
        <v>-1.03</v>
      </c>
      <c r="D20" s="76">
        <v>-0.16</v>
      </c>
      <c r="E20" s="76">
        <v>-0.59</v>
      </c>
      <c r="F20" s="47">
        <v>3.2399999999999998E-2</v>
      </c>
      <c r="G20" s="47">
        <v>2.8799999999999999E-2</v>
      </c>
      <c r="H20" s="46">
        <v>-0.06</v>
      </c>
      <c r="I20" s="46">
        <v>-0.59</v>
      </c>
      <c r="J20" s="46">
        <v>0.03</v>
      </c>
      <c r="K20" s="46">
        <v>0.12</v>
      </c>
      <c r="L20" s="46">
        <v>-0.09</v>
      </c>
      <c r="M20" s="46">
        <v>-0.24</v>
      </c>
      <c r="N20" s="47">
        <v>3.56E-2</v>
      </c>
      <c r="O20" s="47">
        <v>5.7099999999999998E-2</v>
      </c>
      <c r="P20" s="46">
        <v>-0.19</v>
      </c>
      <c r="Q20" s="46">
        <v>-0.26</v>
      </c>
      <c r="R20" s="46">
        <v>-0.22</v>
      </c>
      <c r="S20" s="46">
        <v>-0.46</v>
      </c>
      <c r="T20" s="47">
        <v>7.9200000000000007E-2</v>
      </c>
      <c r="U20" s="47">
        <v>7.9200000000000007E-2</v>
      </c>
      <c r="V20" s="95">
        <v>0.04</v>
      </c>
      <c r="W20" s="95">
        <v>0.09</v>
      </c>
      <c r="X20" s="47">
        <v>-0.10100000000000001</v>
      </c>
      <c r="Y20" s="47">
        <v>-0.26840000000000003</v>
      </c>
      <c r="Z20" s="47">
        <v>0.129</v>
      </c>
      <c r="AA20" s="47">
        <v>0.129</v>
      </c>
      <c r="AB20" s="46">
        <v>0.05</v>
      </c>
      <c r="AC20" s="46">
        <v>0.16</v>
      </c>
      <c r="AD20" s="47"/>
      <c r="AE20" s="47">
        <v>7.5800000000000006E-2</v>
      </c>
      <c r="AF20" s="46">
        <v>-0.05</v>
      </c>
      <c r="AG20" s="46">
        <v>-0.11</v>
      </c>
      <c r="AH20" s="46">
        <v>-0.23</v>
      </c>
      <c r="AI20" s="46">
        <v>-0.19</v>
      </c>
      <c r="AJ20" s="47">
        <v>1.2E-2</v>
      </c>
      <c r="AK20" s="46">
        <v>0.02</v>
      </c>
      <c r="AL20" s="46">
        <v>-0.26</v>
      </c>
      <c r="AM20" s="46">
        <v>-0.6</v>
      </c>
      <c r="AN20" s="46">
        <v>-0.02</v>
      </c>
      <c r="AO20" s="46">
        <v>-0.34</v>
      </c>
      <c r="AP20" s="36"/>
      <c r="AQ20" s="36"/>
      <c r="AR20" s="36">
        <v>11.5</v>
      </c>
      <c r="AS20" s="36">
        <v>10.48</v>
      </c>
      <c r="AT20" s="36"/>
      <c r="AU20" s="36"/>
      <c r="AV20" s="47">
        <v>-3.4299999999999997E-2</v>
      </c>
      <c r="AW20" s="47">
        <v>-0.1701</v>
      </c>
      <c r="AX20" s="76"/>
      <c r="AY20" s="76"/>
      <c r="AZ20" s="46"/>
      <c r="BA20" s="46"/>
      <c r="BB20" s="36">
        <v>0.01</v>
      </c>
      <c r="BC20" s="36">
        <v>0.06</v>
      </c>
      <c r="BD20" s="47">
        <v>7.0000000000000001E-3</v>
      </c>
      <c r="BE20" s="47">
        <v>1.6E-2</v>
      </c>
      <c r="BF20" s="47">
        <v>3.8800000000000001E-2</v>
      </c>
      <c r="BG20" s="47">
        <v>0.1331</v>
      </c>
      <c r="BH20" s="47">
        <v>0.10589999999999999</v>
      </c>
      <c r="BI20" s="47">
        <v>0.27250000000000002</v>
      </c>
      <c r="BJ20" s="46">
        <v>-0.01</v>
      </c>
      <c r="BK20" s="46">
        <v>-0.12</v>
      </c>
      <c r="BL20" s="46">
        <v>0.06</v>
      </c>
      <c r="BM20" s="46">
        <v>0.12</v>
      </c>
      <c r="BN20" s="36"/>
      <c r="BO20" s="47">
        <v>-0.88129999999999997</v>
      </c>
      <c r="BP20" s="47">
        <v>3.1199999999999999E-2</v>
      </c>
      <c r="BQ20" s="47">
        <v>7.8799999999999995E-2</v>
      </c>
    </row>
    <row r="21" spans="1:69" ht="30" x14ac:dyDescent="0.25">
      <c r="A21" s="15" t="s">
        <v>157</v>
      </c>
      <c r="B21" s="36">
        <v>2.94</v>
      </c>
      <c r="C21" s="36">
        <v>2.94</v>
      </c>
      <c r="D21" s="50">
        <v>2.4</v>
      </c>
      <c r="E21" s="50">
        <v>2.4</v>
      </c>
      <c r="F21" s="23">
        <v>1.84</v>
      </c>
      <c r="G21" s="23">
        <v>1.84</v>
      </c>
      <c r="H21" s="36">
        <v>1.52</v>
      </c>
      <c r="I21" s="36">
        <v>1.52</v>
      </c>
      <c r="J21" s="46">
        <v>2.36</v>
      </c>
      <c r="K21" s="46">
        <v>2.36</v>
      </c>
      <c r="L21" s="36">
        <v>1.67</v>
      </c>
      <c r="M21" s="36">
        <v>1.67</v>
      </c>
      <c r="N21" s="36">
        <v>1.57</v>
      </c>
      <c r="O21" s="36">
        <v>1.57</v>
      </c>
      <c r="P21" s="36">
        <v>1.84</v>
      </c>
      <c r="Q21" s="36">
        <v>1.84</v>
      </c>
      <c r="R21" s="36">
        <v>2.4300000000000002</v>
      </c>
      <c r="S21" s="36">
        <v>2.4300000000000002</v>
      </c>
      <c r="T21" s="36"/>
      <c r="U21" s="23"/>
      <c r="V21" s="36">
        <v>1.56</v>
      </c>
      <c r="W21" s="36">
        <v>1.56</v>
      </c>
      <c r="X21" s="36">
        <v>-0.28999999999999998</v>
      </c>
      <c r="Y21" s="36">
        <v>1.57</v>
      </c>
      <c r="Z21" s="36">
        <v>1.81</v>
      </c>
      <c r="AA21" s="36">
        <v>1.81</v>
      </c>
      <c r="AB21" s="36">
        <v>2.1800000000000002</v>
      </c>
      <c r="AC21" s="36">
        <v>2.1800000000000002</v>
      </c>
      <c r="AD21" s="47"/>
      <c r="AE21" s="23">
        <v>1.63</v>
      </c>
      <c r="AF21" s="36">
        <v>2.44</v>
      </c>
      <c r="AG21" s="36">
        <v>2.44</v>
      </c>
      <c r="AH21" s="36">
        <v>2.25</v>
      </c>
      <c r="AI21" s="36">
        <v>2.25</v>
      </c>
      <c r="AJ21" s="36">
        <v>1.58</v>
      </c>
      <c r="AK21" s="36">
        <v>1.58</v>
      </c>
      <c r="AL21" s="46">
        <v>1.86</v>
      </c>
      <c r="AM21" s="46">
        <v>1.86</v>
      </c>
      <c r="AN21" s="23">
        <v>1.66</v>
      </c>
      <c r="AO21" s="23">
        <v>1.66</v>
      </c>
      <c r="AP21" s="36"/>
      <c r="AQ21" s="36">
        <v>0.12</v>
      </c>
      <c r="AR21" s="36">
        <v>2.1</v>
      </c>
      <c r="AS21" s="36">
        <v>2.1</v>
      </c>
      <c r="AT21" s="36"/>
      <c r="AU21" s="36"/>
      <c r="AV21" s="36">
        <v>3</v>
      </c>
      <c r="AW21" s="36">
        <v>3</v>
      </c>
      <c r="AX21" s="36"/>
      <c r="AY21" s="36"/>
      <c r="AZ21" s="36"/>
      <c r="BA21" s="36"/>
      <c r="BB21" s="36">
        <v>1.54</v>
      </c>
      <c r="BC21" s="36">
        <v>1.54</v>
      </c>
      <c r="BD21" s="36">
        <v>1.84</v>
      </c>
      <c r="BE21" s="36">
        <v>1.84</v>
      </c>
      <c r="BF21" s="36">
        <v>2.12</v>
      </c>
      <c r="BG21" s="36">
        <v>2.12</v>
      </c>
      <c r="BH21" s="36">
        <v>3.47</v>
      </c>
      <c r="BI21" s="36">
        <v>3.47</v>
      </c>
      <c r="BJ21" s="36"/>
      <c r="BK21" s="36">
        <v>1.56</v>
      </c>
      <c r="BL21" s="36">
        <v>2.1</v>
      </c>
      <c r="BM21" s="36">
        <v>2.1</v>
      </c>
      <c r="BN21" s="36"/>
      <c r="BO21" s="36">
        <v>0.94</v>
      </c>
      <c r="BP21" s="36">
        <v>2.0699999999999998</v>
      </c>
      <c r="BQ21" s="36">
        <v>2.0699999999999998</v>
      </c>
    </row>
    <row r="22" spans="1:69" x14ac:dyDescent="0.25">
      <c r="A22" s="15" t="s">
        <v>158</v>
      </c>
      <c r="B22" s="36"/>
      <c r="C22" s="36"/>
      <c r="D22" s="36"/>
      <c r="E22" s="36"/>
      <c r="F22" s="47"/>
      <c r="G22" s="47">
        <v>6.7999999999999996E-3</v>
      </c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47"/>
      <c r="AE22" s="47"/>
      <c r="AF22" s="36"/>
      <c r="AG22" s="36"/>
      <c r="AH22" s="36"/>
      <c r="AI22" s="47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47"/>
      <c r="BQ22" s="47"/>
    </row>
    <row r="23" spans="1:69" x14ac:dyDescent="0.25">
      <c r="A23" s="15" t="s">
        <v>159</v>
      </c>
      <c r="B23" s="36"/>
      <c r="C23" s="36"/>
      <c r="D23" s="36"/>
      <c r="E23" s="36"/>
      <c r="F23" s="47"/>
      <c r="G23" s="47"/>
      <c r="H23" s="36">
        <v>4.76</v>
      </c>
      <c r="I23" s="36">
        <v>4.76</v>
      </c>
      <c r="J23" s="36"/>
      <c r="K23" s="36"/>
      <c r="L23" s="49">
        <v>4.7500000000000001E-2</v>
      </c>
      <c r="M23" s="49">
        <v>4.7500000000000001E-2</v>
      </c>
      <c r="N23" s="47">
        <v>4.2799999999999998E-2</v>
      </c>
      <c r="O23" s="47">
        <v>4.2799999999999998E-2</v>
      </c>
      <c r="P23" s="49">
        <v>0.10100000000000001</v>
      </c>
      <c r="Q23" s="49">
        <v>0.10100000000000001</v>
      </c>
      <c r="R23" s="36"/>
      <c r="S23" s="36"/>
      <c r="T23" s="36"/>
      <c r="U23" s="47"/>
      <c r="V23" s="36"/>
      <c r="W23" s="36"/>
      <c r="X23" s="36"/>
      <c r="Y23" s="36"/>
      <c r="Z23" s="36"/>
      <c r="AA23" s="36"/>
      <c r="AB23" s="36"/>
      <c r="AC23" s="36"/>
      <c r="AD23" s="47"/>
      <c r="AE23" s="47"/>
      <c r="AF23" s="36"/>
      <c r="AG23" s="36"/>
      <c r="AH23" s="36"/>
      <c r="AI23" s="36"/>
      <c r="AJ23" s="36"/>
      <c r="AK23" s="36"/>
      <c r="AL23" s="36"/>
      <c r="AM23" s="36"/>
      <c r="AN23" s="47">
        <v>7.8600000000000003E-2</v>
      </c>
      <c r="AO23" s="47">
        <v>7.8600000000000003E-2</v>
      </c>
      <c r="AP23" s="36"/>
      <c r="AQ23" s="47">
        <v>1.37E-2</v>
      </c>
      <c r="AR23" s="36">
        <v>1.62</v>
      </c>
      <c r="AS23" s="36">
        <v>1.62</v>
      </c>
      <c r="AT23" s="36"/>
      <c r="AU23" s="36"/>
      <c r="AV23" s="36"/>
      <c r="AW23" s="47">
        <v>4.3799999999999999E-2</v>
      </c>
      <c r="AX23" s="49"/>
      <c r="AY23" s="49"/>
      <c r="AZ23" s="36"/>
      <c r="BA23" s="36"/>
      <c r="BB23" s="36"/>
      <c r="BC23" s="36"/>
      <c r="BD23" s="47">
        <v>3.1300000000000001E-2</v>
      </c>
      <c r="BE23" s="47">
        <v>3.1300000000000001E-2</v>
      </c>
      <c r="BF23" s="36"/>
      <c r="BG23" s="36"/>
      <c r="BH23" s="36"/>
      <c r="BI23" s="36"/>
      <c r="BJ23" s="36"/>
      <c r="BK23" s="36"/>
      <c r="BL23" s="36"/>
      <c r="BM23" s="36"/>
      <c r="BN23" s="36"/>
      <c r="BO23" s="47">
        <v>1.44E-2</v>
      </c>
      <c r="BP23" s="36"/>
      <c r="BQ23" s="36"/>
    </row>
    <row r="24" spans="1:69" x14ac:dyDescent="0.25">
      <c r="A24" s="15" t="s">
        <v>160</v>
      </c>
      <c r="B24" s="36"/>
      <c r="C24" s="36"/>
      <c r="D24" s="36"/>
      <c r="E24" s="36"/>
      <c r="F24" s="47"/>
      <c r="G24" s="47"/>
      <c r="H24" s="36">
        <v>3.25</v>
      </c>
      <c r="I24" s="36">
        <v>3.25</v>
      </c>
      <c r="J24" s="36"/>
      <c r="K24" s="36"/>
      <c r="L24" s="49">
        <v>3.2399999999999998E-2</v>
      </c>
      <c r="M24" s="49">
        <v>3.2399999999999998E-2</v>
      </c>
      <c r="N24" s="47">
        <v>2.6700000000000002E-2</v>
      </c>
      <c r="O24" s="47">
        <v>2.6700000000000002E-2</v>
      </c>
      <c r="P24" s="49">
        <v>8.3000000000000004E-2</v>
      </c>
      <c r="Q24" s="49">
        <v>8.3000000000000004E-2</v>
      </c>
      <c r="R24" s="36"/>
      <c r="S24" s="36"/>
      <c r="T24" s="36"/>
      <c r="U24" s="47"/>
      <c r="V24" s="36"/>
      <c r="W24" s="36"/>
      <c r="X24" s="36"/>
      <c r="Y24" s="36"/>
      <c r="Z24" s="36"/>
      <c r="AA24" s="36"/>
      <c r="AB24" s="36"/>
      <c r="AC24" s="36"/>
      <c r="AD24" s="47"/>
      <c r="AE24" s="47"/>
      <c r="AF24" s="36"/>
      <c r="AG24" s="36"/>
      <c r="AH24" s="36"/>
      <c r="AI24" s="36"/>
      <c r="AJ24" s="36"/>
      <c r="AK24" s="36"/>
      <c r="AL24" s="36"/>
      <c r="AM24" s="36"/>
      <c r="AN24" s="47">
        <v>3.2800000000000003E-2</v>
      </c>
      <c r="AO24" s="47">
        <v>3.2800000000000003E-2</v>
      </c>
      <c r="AP24" s="36"/>
      <c r="AQ24" s="106"/>
      <c r="AR24" s="36">
        <v>1.0900000000000001</v>
      </c>
      <c r="AS24" s="36">
        <v>1.0900000000000001</v>
      </c>
      <c r="AT24" s="36"/>
      <c r="AU24" s="36"/>
      <c r="AV24" s="36"/>
      <c r="AW24" s="36"/>
      <c r="AX24" s="49"/>
      <c r="AY24" s="49"/>
      <c r="AZ24" s="36"/>
      <c r="BA24" s="36"/>
      <c r="BB24" s="36"/>
      <c r="BC24" s="36"/>
      <c r="BD24" s="47">
        <v>2.8199999999999999E-2</v>
      </c>
      <c r="BE24" s="47">
        <v>2.8199999999999999E-2</v>
      </c>
      <c r="BF24" s="36"/>
      <c r="BG24" s="36"/>
      <c r="BH24" s="36"/>
      <c r="BI24" s="36"/>
      <c r="BJ24" s="36"/>
      <c r="BK24" s="36"/>
      <c r="BL24" s="36"/>
      <c r="BM24" s="36"/>
      <c r="BN24" s="36"/>
      <c r="BO24" s="47">
        <v>9.1000000000000004E-3</v>
      </c>
      <c r="BP24" s="47">
        <v>8.9999999999999993E-3</v>
      </c>
      <c r="BQ24" s="47">
        <v>8.9999999999999993E-3</v>
      </c>
    </row>
  </sheetData>
  <mergeCells count="34">
    <mergeCell ref="BN2:BO2"/>
    <mergeCell ref="BP2:BQ2"/>
    <mergeCell ref="BH2:BI2"/>
    <mergeCell ref="AH2:AI2"/>
    <mergeCell ref="X2:Y2"/>
    <mergeCell ref="Z2:AA2"/>
    <mergeCell ref="BJ2:BK2"/>
    <mergeCell ref="BL2:BM2"/>
    <mergeCell ref="BF2:BG2"/>
    <mergeCell ref="AV2:AW2"/>
    <mergeCell ref="AX2:AY2"/>
    <mergeCell ref="AZ2:BA2"/>
    <mergeCell ref="AJ2:AK2"/>
    <mergeCell ref="BB2:BC2"/>
    <mergeCell ref="BD2:BE2"/>
    <mergeCell ref="AL2:AM2"/>
    <mergeCell ref="AN2:AO2"/>
    <mergeCell ref="AP2:AQ2"/>
    <mergeCell ref="AR2:AS2"/>
    <mergeCell ref="AT2:AU2"/>
    <mergeCell ref="L2:M2"/>
    <mergeCell ref="AB2:AC2"/>
    <mergeCell ref="AD2:AE2"/>
    <mergeCell ref="AF2:AG2"/>
    <mergeCell ref="N2:O2"/>
    <mergeCell ref="P2:Q2"/>
    <mergeCell ref="R2:S2"/>
    <mergeCell ref="T2:U2"/>
    <mergeCell ref="V2:W2"/>
    <mergeCell ref="B2:C2"/>
    <mergeCell ref="D2:E2"/>
    <mergeCell ref="F2:G2"/>
    <mergeCell ref="H2:I2"/>
    <mergeCell ref="J2:K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7.42578125" style="7" customWidth="1"/>
    <col min="2" max="2" width="16" style="7" customWidth="1"/>
    <col min="3" max="3" width="16" style="52" customWidth="1"/>
    <col min="4" max="15" width="16" style="7" customWidth="1"/>
    <col min="16" max="16" width="16" style="52" customWidth="1"/>
    <col min="17" max="19" width="16" style="7" customWidth="1"/>
    <col min="20" max="20" width="16" style="52" customWidth="1"/>
    <col min="21" max="22" width="16" style="7" customWidth="1"/>
    <col min="23" max="23" width="16" style="52" customWidth="1"/>
    <col min="24" max="35" width="16" style="7" customWidth="1"/>
    <col min="36" max="16384" width="9.140625" style="7"/>
  </cols>
  <sheetData>
    <row r="1" spans="1:35" ht="18.75" x14ac:dyDescent="0.3">
      <c r="A1" s="9" t="s">
        <v>305</v>
      </c>
    </row>
    <row r="2" spans="1:35" x14ac:dyDescent="0.25">
      <c r="A2" s="7" t="s">
        <v>113</v>
      </c>
    </row>
    <row r="3" spans="1:35" x14ac:dyDescent="0.25">
      <c r="A3" s="1" t="s">
        <v>0</v>
      </c>
      <c r="B3" s="92" t="s">
        <v>1</v>
      </c>
      <c r="C3" s="99" t="s">
        <v>2</v>
      </c>
      <c r="D3" s="92" t="s">
        <v>3</v>
      </c>
      <c r="E3" s="92" t="s">
        <v>307</v>
      </c>
      <c r="F3" s="92" t="s">
        <v>5</v>
      </c>
      <c r="G3" s="92" t="s">
        <v>6</v>
      </c>
      <c r="H3" s="92" t="s">
        <v>7</v>
      </c>
      <c r="I3" s="92" t="s">
        <v>8</v>
      </c>
      <c r="J3" s="92" t="s">
        <v>9</v>
      </c>
      <c r="K3" s="92" t="s">
        <v>10</v>
      </c>
      <c r="L3" s="92" t="s">
        <v>11</v>
      </c>
      <c r="M3" s="92" t="s">
        <v>12</v>
      </c>
      <c r="N3" s="92" t="s">
        <v>13</v>
      </c>
      <c r="O3" s="92" t="s">
        <v>14</v>
      </c>
      <c r="P3" s="99" t="s">
        <v>15</v>
      </c>
      <c r="Q3" s="92" t="s">
        <v>16</v>
      </c>
      <c r="R3" s="92" t="s">
        <v>17</v>
      </c>
      <c r="S3" s="92" t="s">
        <v>18</v>
      </c>
      <c r="T3" s="99" t="s">
        <v>296</v>
      </c>
      <c r="U3" s="92" t="s">
        <v>19</v>
      </c>
      <c r="V3" s="92" t="s">
        <v>20</v>
      </c>
      <c r="W3" s="99" t="s">
        <v>21</v>
      </c>
      <c r="X3" s="92" t="s">
        <v>22</v>
      </c>
      <c r="Y3" s="92" t="s">
        <v>23</v>
      </c>
      <c r="Z3" s="92" t="s">
        <v>24</v>
      </c>
      <c r="AA3" s="92" t="s">
        <v>25</v>
      </c>
      <c r="AB3" s="92" t="s">
        <v>26</v>
      </c>
      <c r="AC3" s="92" t="s">
        <v>27</v>
      </c>
      <c r="AD3" s="92" t="s">
        <v>28</v>
      </c>
      <c r="AE3" s="92" t="s">
        <v>29</v>
      </c>
      <c r="AF3" s="92" t="s">
        <v>30</v>
      </c>
      <c r="AG3" s="92" t="s">
        <v>31</v>
      </c>
      <c r="AH3" s="91" t="s">
        <v>32</v>
      </c>
      <c r="AI3" s="92" t="s">
        <v>33</v>
      </c>
    </row>
    <row r="4" spans="1:35" ht="15" customHeight="1" x14ac:dyDescent="0.25">
      <c r="A4" s="2" t="s">
        <v>114</v>
      </c>
      <c r="B4" s="10">
        <v>24790</v>
      </c>
      <c r="C4" s="23">
        <v>64778.98</v>
      </c>
      <c r="D4" s="10">
        <v>1733725</v>
      </c>
      <c r="E4" s="10">
        <v>146363</v>
      </c>
      <c r="F4" s="10">
        <v>1624974</v>
      </c>
      <c r="G4" s="10">
        <v>510691</v>
      </c>
      <c r="H4" s="10">
        <v>818114</v>
      </c>
      <c r="I4" s="10">
        <v>25703</v>
      </c>
      <c r="J4" s="10">
        <v>15927</v>
      </c>
      <c r="K4" s="10">
        <v>735456.77</v>
      </c>
      <c r="L4" s="10">
        <v>391020</v>
      </c>
      <c r="M4" s="10">
        <v>222002</v>
      </c>
      <c r="N4" s="10">
        <v>1103147</v>
      </c>
      <c r="O4" s="10">
        <v>2929607</v>
      </c>
      <c r="P4" s="23">
        <v>744383.96</v>
      </c>
      <c r="Q4" s="10">
        <v>47192</v>
      </c>
      <c r="R4" s="10">
        <v>199730</v>
      </c>
      <c r="S4" s="10">
        <v>186464</v>
      </c>
      <c r="T4" s="23">
        <v>37969.47</v>
      </c>
      <c r="U4" s="10">
        <v>64561</v>
      </c>
      <c r="V4" s="10">
        <v>3230435.11</v>
      </c>
      <c r="W4" s="23">
        <v>3976059.55</v>
      </c>
      <c r="X4" s="10"/>
      <c r="Y4" s="10">
        <v>29947</v>
      </c>
      <c r="Z4" s="7">
        <v>993305</v>
      </c>
      <c r="AA4" s="10"/>
      <c r="AB4" s="10">
        <v>135834</v>
      </c>
      <c r="AC4" s="10">
        <v>536507</v>
      </c>
      <c r="AD4" s="10">
        <v>661791</v>
      </c>
      <c r="AE4" s="10">
        <v>796989</v>
      </c>
      <c r="AF4" s="10">
        <v>310070.5</v>
      </c>
      <c r="AG4" s="10">
        <v>1018773</v>
      </c>
      <c r="AH4" s="10">
        <v>3420463</v>
      </c>
      <c r="AI4" s="10">
        <v>286026</v>
      </c>
    </row>
    <row r="5" spans="1:35" ht="15" customHeight="1" x14ac:dyDescent="0.25">
      <c r="A5" s="2" t="s">
        <v>115</v>
      </c>
      <c r="B5" s="10">
        <v>12597</v>
      </c>
      <c r="C5" s="23">
        <v>37187.82</v>
      </c>
      <c r="D5" s="10">
        <v>347271</v>
      </c>
      <c r="E5" s="10"/>
      <c r="F5" s="10">
        <v>1252460</v>
      </c>
      <c r="G5" s="10">
        <v>330427</v>
      </c>
      <c r="H5" s="10">
        <v>506564</v>
      </c>
      <c r="I5" s="10">
        <v>15614</v>
      </c>
      <c r="J5" s="10">
        <v>13276</v>
      </c>
      <c r="K5" s="10">
        <v>684651.58</v>
      </c>
      <c r="L5" s="10"/>
      <c r="M5" s="10"/>
      <c r="N5" s="10"/>
      <c r="O5" s="10"/>
      <c r="P5" s="23"/>
      <c r="Q5" s="10"/>
      <c r="R5" s="10">
        <v>156410</v>
      </c>
      <c r="S5" s="10"/>
      <c r="T5" s="23"/>
      <c r="U5" s="10">
        <v>46790</v>
      </c>
      <c r="V5" s="10"/>
      <c r="W5" s="23">
        <v>3690206.08</v>
      </c>
      <c r="X5" s="10"/>
      <c r="Y5" s="10"/>
      <c r="Z5" s="10">
        <v>767520</v>
      </c>
      <c r="AA5" s="10"/>
      <c r="AB5" s="10">
        <v>89297</v>
      </c>
      <c r="AD5" s="10"/>
      <c r="AE5" s="10">
        <v>742145</v>
      </c>
      <c r="AF5" s="10"/>
      <c r="AG5" s="10">
        <v>753341</v>
      </c>
      <c r="AH5" s="10">
        <v>2807028</v>
      </c>
      <c r="AI5" s="10">
        <v>194089</v>
      </c>
    </row>
    <row r="6" spans="1:35" ht="15" customHeight="1" x14ac:dyDescent="0.25">
      <c r="A6" s="2" t="s">
        <v>117</v>
      </c>
      <c r="B6" s="10"/>
      <c r="C6" s="23"/>
      <c r="D6" s="10"/>
      <c r="E6" s="10">
        <v>28755</v>
      </c>
      <c r="F6" s="10"/>
      <c r="G6" s="10"/>
      <c r="H6" s="10"/>
      <c r="I6" s="10"/>
      <c r="J6" s="10"/>
      <c r="K6" s="10"/>
      <c r="L6" s="10">
        <v>71127</v>
      </c>
      <c r="M6" s="10">
        <v>153237</v>
      </c>
      <c r="N6" s="10">
        <v>732300</v>
      </c>
      <c r="O6" s="10">
        <v>2341527</v>
      </c>
      <c r="P6" s="23">
        <v>512226.72</v>
      </c>
      <c r="Q6" s="10">
        <v>43935</v>
      </c>
      <c r="R6" s="10"/>
      <c r="S6" s="10">
        <v>144167</v>
      </c>
      <c r="T6" s="23">
        <v>32359.22</v>
      </c>
      <c r="U6" s="10"/>
      <c r="V6" s="10">
        <v>2664287.42</v>
      </c>
      <c r="W6" s="23"/>
      <c r="X6" s="10"/>
      <c r="Y6" s="10">
        <v>21782</v>
      </c>
      <c r="Z6" s="10"/>
      <c r="AA6" s="10"/>
      <c r="AB6" s="10"/>
      <c r="AC6" s="10">
        <v>447889</v>
      </c>
      <c r="AD6" s="10">
        <v>646918</v>
      </c>
      <c r="AE6" s="10"/>
      <c r="AF6" s="10">
        <v>37993.599999999999</v>
      </c>
      <c r="AH6" s="10"/>
      <c r="AI6" s="10"/>
    </row>
    <row r="7" spans="1:35" ht="15" customHeight="1" x14ac:dyDescent="0.25">
      <c r="A7" s="2" t="s">
        <v>118</v>
      </c>
      <c r="B7" s="10"/>
      <c r="C7" s="23"/>
      <c r="D7" s="10">
        <v>103713</v>
      </c>
      <c r="E7" s="10">
        <v>91585</v>
      </c>
      <c r="F7" s="10"/>
      <c r="G7" s="10"/>
      <c r="H7" s="10"/>
      <c r="I7" s="10"/>
      <c r="J7" s="10"/>
      <c r="K7" s="10"/>
      <c r="L7" s="10">
        <v>312672</v>
      </c>
      <c r="M7" s="10">
        <v>712</v>
      </c>
      <c r="N7" s="10"/>
      <c r="O7" s="10">
        <v>1903</v>
      </c>
      <c r="P7" s="23">
        <v>212517.36</v>
      </c>
      <c r="Q7" s="10"/>
      <c r="R7" s="10"/>
      <c r="S7" s="10">
        <v>42297</v>
      </c>
      <c r="T7" s="23">
        <v>2606.69</v>
      </c>
      <c r="U7" s="10"/>
      <c r="V7" s="10">
        <v>520438.29</v>
      </c>
      <c r="W7" s="23"/>
      <c r="X7" s="10"/>
      <c r="Y7" s="10">
        <v>6911</v>
      </c>
      <c r="Z7" s="10"/>
      <c r="AA7" s="10"/>
      <c r="AB7" s="10"/>
      <c r="AC7" s="10"/>
      <c r="AD7" s="10"/>
      <c r="AE7" s="10"/>
      <c r="AF7" s="10">
        <v>295031.01</v>
      </c>
      <c r="AG7" s="10"/>
      <c r="AH7" s="10"/>
      <c r="AI7" s="10">
        <v>127</v>
      </c>
    </row>
    <row r="8" spans="1:35" ht="30" customHeight="1" x14ac:dyDescent="0.25">
      <c r="A8" s="2" t="s">
        <v>116</v>
      </c>
      <c r="B8" s="10">
        <v>12193</v>
      </c>
      <c r="C8" s="23">
        <v>24658.12</v>
      </c>
      <c r="D8" s="10">
        <v>1392838</v>
      </c>
      <c r="E8" s="10">
        <v>16680</v>
      </c>
      <c r="F8" s="10">
        <v>302358</v>
      </c>
      <c r="G8" s="10">
        <v>160142</v>
      </c>
      <c r="H8" s="10">
        <v>220515</v>
      </c>
      <c r="I8" s="10">
        <v>5456</v>
      </c>
      <c r="J8" s="10">
        <v>3663</v>
      </c>
      <c r="K8" s="10">
        <v>37086.019999999997</v>
      </c>
      <c r="L8" s="10"/>
      <c r="M8" s="10">
        <v>83939</v>
      </c>
      <c r="N8" s="10">
        <v>370847</v>
      </c>
      <c r="O8" s="10">
        <v>610180</v>
      </c>
      <c r="P8" s="23">
        <v>19639.88</v>
      </c>
      <c r="Q8" s="10">
        <v>11</v>
      </c>
      <c r="R8" s="10">
        <v>43264</v>
      </c>
      <c r="S8" s="10"/>
      <c r="T8" s="23"/>
      <c r="U8" s="10">
        <v>11892</v>
      </c>
      <c r="V8" s="10"/>
      <c r="W8" s="23">
        <v>358038.91</v>
      </c>
      <c r="X8" s="10"/>
      <c r="Y8" s="10"/>
      <c r="Z8" s="10">
        <v>225785</v>
      </c>
      <c r="AA8" s="10"/>
      <c r="AB8" s="10">
        <v>11991</v>
      </c>
      <c r="AC8" s="10">
        <v>98483</v>
      </c>
      <c r="AD8" s="10"/>
      <c r="AE8" s="10">
        <v>36446</v>
      </c>
      <c r="AF8" s="10"/>
      <c r="AG8" s="10">
        <v>244113</v>
      </c>
      <c r="AH8" s="10">
        <v>386082</v>
      </c>
      <c r="AI8" s="10">
        <v>84219</v>
      </c>
    </row>
    <row r="9" spans="1:35" s="44" customFormat="1" ht="15" customHeight="1" x14ac:dyDescent="0.25">
      <c r="A9" s="19" t="s">
        <v>119</v>
      </c>
      <c r="B9" s="43"/>
      <c r="C9" s="25">
        <v>2933.05</v>
      </c>
      <c r="D9" s="43">
        <v>-110097</v>
      </c>
      <c r="E9" s="43">
        <v>9343</v>
      </c>
      <c r="F9" s="43">
        <v>70155</v>
      </c>
      <c r="G9" s="43">
        <v>20121</v>
      </c>
      <c r="H9" s="43">
        <v>59</v>
      </c>
      <c r="I9" s="43">
        <v>4633</v>
      </c>
      <c r="J9" s="43">
        <v>-1012</v>
      </c>
      <c r="K9" s="43">
        <v>13719.17</v>
      </c>
      <c r="L9" s="43">
        <v>7221</v>
      </c>
      <c r="M9" s="43">
        <v>-15885</v>
      </c>
      <c r="N9" s="43"/>
      <c r="O9" s="43">
        <v>-24003</v>
      </c>
      <c r="P9" s="25"/>
      <c r="Q9" s="43">
        <v>3246</v>
      </c>
      <c r="R9" s="43">
        <v>57</v>
      </c>
      <c r="S9" s="43"/>
      <c r="T9" s="25">
        <v>3003.55</v>
      </c>
      <c r="U9" s="43">
        <v>11892</v>
      </c>
      <c r="V9" s="43">
        <v>45710.399999999965</v>
      </c>
      <c r="W9" s="25">
        <v>-72185.440000000002</v>
      </c>
      <c r="X9" s="43"/>
      <c r="Y9" s="43">
        <v>1253</v>
      </c>
      <c r="Z9" s="43"/>
      <c r="AA9" s="43"/>
      <c r="AB9" s="43">
        <v>34546</v>
      </c>
      <c r="AC9" s="43">
        <v>-9865</v>
      </c>
      <c r="AD9" s="43">
        <v>14872</v>
      </c>
      <c r="AE9" s="43">
        <v>18399</v>
      </c>
      <c r="AF9" s="43">
        <v>-22954.11</v>
      </c>
      <c r="AG9" s="43">
        <v>21319</v>
      </c>
      <c r="AH9" s="43">
        <v>227353</v>
      </c>
      <c r="AI9" s="43">
        <v>7590</v>
      </c>
    </row>
    <row r="10" spans="1:35" ht="15" customHeight="1" x14ac:dyDescent="0.25">
      <c r="A10" s="2" t="s">
        <v>120</v>
      </c>
      <c r="B10" s="10">
        <v>19927</v>
      </c>
      <c r="C10" s="23">
        <v>26132.01</v>
      </c>
      <c r="D10" s="10">
        <v>399132</v>
      </c>
      <c r="E10" s="10">
        <v>65522</v>
      </c>
      <c r="F10" s="10">
        <v>551664</v>
      </c>
      <c r="G10" s="10">
        <v>66716</v>
      </c>
      <c r="H10" s="10">
        <v>171206</v>
      </c>
      <c r="I10" s="10">
        <v>4575</v>
      </c>
      <c r="J10" s="10">
        <v>15449</v>
      </c>
      <c r="K10" s="10">
        <v>489003.83</v>
      </c>
      <c r="L10" s="10">
        <v>98220</v>
      </c>
      <c r="M10" s="10">
        <v>69249</v>
      </c>
      <c r="N10" s="10">
        <v>299229</v>
      </c>
      <c r="O10" s="10">
        <v>604415</v>
      </c>
      <c r="P10" s="23">
        <v>462104.83</v>
      </c>
      <c r="Q10" s="10">
        <v>22043</v>
      </c>
      <c r="R10" s="10">
        <v>76072</v>
      </c>
      <c r="S10" s="10">
        <v>44467</v>
      </c>
      <c r="T10" s="23">
        <v>25325.82</v>
      </c>
      <c r="U10" s="10">
        <v>50738</v>
      </c>
      <c r="V10" s="10"/>
      <c r="W10" s="23">
        <v>1866643.26</v>
      </c>
      <c r="X10" s="10"/>
      <c r="Y10" s="10">
        <v>15525</v>
      </c>
      <c r="Z10" s="10">
        <v>240827</v>
      </c>
      <c r="AA10" s="10"/>
      <c r="AB10" s="10">
        <v>42277</v>
      </c>
      <c r="AC10" s="10">
        <v>131922</v>
      </c>
      <c r="AD10" s="10">
        <v>214670</v>
      </c>
      <c r="AE10" s="10">
        <v>172691</v>
      </c>
      <c r="AF10" s="10">
        <v>197908.91</v>
      </c>
      <c r="AG10" s="10">
        <v>324644</v>
      </c>
      <c r="AH10" s="10">
        <v>237786</v>
      </c>
      <c r="AI10" s="10">
        <v>91681</v>
      </c>
    </row>
    <row r="11" spans="1:35" ht="30" customHeight="1" x14ac:dyDescent="0.25">
      <c r="A11" s="2" t="s">
        <v>121</v>
      </c>
      <c r="B11" s="10">
        <v>5245</v>
      </c>
      <c r="C11" s="23"/>
      <c r="D11" s="10"/>
      <c r="E11" s="10">
        <v>13777</v>
      </c>
      <c r="F11" s="10">
        <v>78076</v>
      </c>
      <c r="G11" s="10">
        <v>4830</v>
      </c>
      <c r="H11" s="10">
        <v>29671</v>
      </c>
      <c r="I11" s="10"/>
      <c r="J11" s="10">
        <v>2281</v>
      </c>
      <c r="K11" s="10">
        <v>25771.64</v>
      </c>
      <c r="L11" s="10">
        <v>27165</v>
      </c>
      <c r="M11" s="10"/>
      <c r="N11" s="10">
        <v>54053</v>
      </c>
      <c r="O11" s="10">
        <v>21188</v>
      </c>
      <c r="P11" s="23">
        <v>234629.72</v>
      </c>
      <c r="Q11" s="10">
        <v>8190</v>
      </c>
      <c r="R11" s="10">
        <v>15513</v>
      </c>
      <c r="S11" s="10">
        <v>12723</v>
      </c>
      <c r="T11" s="23">
        <v>9075.86</v>
      </c>
      <c r="U11" s="10">
        <v>26916</v>
      </c>
      <c r="V11" s="10"/>
      <c r="W11" s="23">
        <v>387918.8</v>
      </c>
      <c r="X11" s="10"/>
      <c r="Y11" s="10">
        <v>1755</v>
      </c>
      <c r="Z11" s="10">
        <v>57321</v>
      </c>
      <c r="AA11" s="10"/>
      <c r="AB11" s="10">
        <v>24661</v>
      </c>
      <c r="AC11" s="10"/>
      <c r="AD11" s="10">
        <v>32054</v>
      </c>
      <c r="AE11" s="10">
        <v>18580</v>
      </c>
      <c r="AF11" s="10">
        <v>20990.94</v>
      </c>
      <c r="AG11" s="10">
        <v>71899</v>
      </c>
      <c r="AH11" s="10">
        <v>26840</v>
      </c>
      <c r="AI11" s="10">
        <v>8256</v>
      </c>
    </row>
    <row r="12" spans="1:35" s="44" customFormat="1" x14ac:dyDescent="0.25">
      <c r="A12" s="19" t="s">
        <v>122</v>
      </c>
      <c r="B12" s="43">
        <v>14682</v>
      </c>
      <c r="C12" s="25">
        <v>26132.01</v>
      </c>
      <c r="D12" s="43">
        <v>399132</v>
      </c>
      <c r="E12" s="43">
        <v>51745</v>
      </c>
      <c r="F12" s="43">
        <v>473588</v>
      </c>
      <c r="G12" s="43">
        <v>61886</v>
      </c>
      <c r="H12" s="43">
        <v>141536</v>
      </c>
      <c r="I12" s="43">
        <v>4575</v>
      </c>
      <c r="J12" s="43">
        <v>13168</v>
      </c>
      <c r="K12" s="43">
        <v>463232.19</v>
      </c>
      <c r="L12" s="43">
        <v>71055</v>
      </c>
      <c r="M12" s="43">
        <v>69249</v>
      </c>
      <c r="N12" s="43">
        <v>245176</v>
      </c>
      <c r="O12" s="43">
        <v>583227</v>
      </c>
      <c r="P12" s="25">
        <v>227475.11</v>
      </c>
      <c r="Q12" s="43">
        <v>13853</v>
      </c>
      <c r="R12" s="43">
        <v>60560</v>
      </c>
      <c r="S12" s="43">
        <v>31744</v>
      </c>
      <c r="T12" s="25">
        <v>16249.96</v>
      </c>
      <c r="U12" s="43">
        <v>23822</v>
      </c>
      <c r="V12" s="43"/>
      <c r="W12" s="25">
        <v>1478724.46</v>
      </c>
      <c r="X12" s="43"/>
      <c r="Y12" s="43">
        <v>13770</v>
      </c>
      <c r="Z12" s="43">
        <v>183506</v>
      </c>
      <c r="AA12" s="43"/>
      <c r="AB12" s="43">
        <v>17616</v>
      </c>
      <c r="AC12" s="43">
        <v>131922</v>
      </c>
      <c r="AD12" s="43">
        <v>182616</v>
      </c>
      <c r="AE12" s="43">
        <v>154111</v>
      </c>
      <c r="AF12" s="43">
        <v>176917.97</v>
      </c>
      <c r="AG12" s="43">
        <v>252745</v>
      </c>
      <c r="AH12" s="43">
        <v>210946</v>
      </c>
      <c r="AI12" s="43">
        <v>83426</v>
      </c>
    </row>
    <row r="13" spans="1:35" s="8" customFormat="1" ht="15" customHeight="1" x14ac:dyDescent="0.25">
      <c r="A13" s="3" t="s">
        <v>123</v>
      </c>
      <c r="B13" s="11">
        <v>14682</v>
      </c>
      <c r="C13" s="41">
        <v>29065.06</v>
      </c>
      <c r="D13" s="11">
        <v>289035</v>
      </c>
      <c r="E13" s="11">
        <v>61088</v>
      </c>
      <c r="F13" s="11">
        <v>543743</v>
      </c>
      <c r="G13" s="11">
        <v>82008</v>
      </c>
      <c r="H13" s="11">
        <v>141594</v>
      </c>
      <c r="I13" s="11">
        <v>9208</v>
      </c>
      <c r="J13" s="11">
        <v>12156</v>
      </c>
      <c r="K13" s="11">
        <v>476951.36</v>
      </c>
      <c r="L13" s="11">
        <v>78276</v>
      </c>
      <c r="M13" s="11">
        <v>53364</v>
      </c>
      <c r="N13" s="11">
        <v>245176</v>
      </c>
      <c r="O13" s="11">
        <v>559224</v>
      </c>
      <c r="P13" s="41">
        <v>227475.11</v>
      </c>
      <c r="Q13" s="11">
        <v>17099</v>
      </c>
      <c r="R13" s="11">
        <v>60616</v>
      </c>
      <c r="S13" s="11">
        <v>31744</v>
      </c>
      <c r="T13" s="41">
        <v>19253.52</v>
      </c>
      <c r="U13" s="11">
        <v>29701</v>
      </c>
      <c r="V13" s="11">
        <v>45710.399999999965</v>
      </c>
      <c r="W13" s="41">
        <v>1406539.02</v>
      </c>
      <c r="X13" s="11"/>
      <c r="Y13" s="11">
        <v>15023</v>
      </c>
      <c r="Z13" s="11">
        <v>183506</v>
      </c>
      <c r="AA13" s="11"/>
      <c r="AB13" s="11">
        <v>52162</v>
      </c>
      <c r="AC13" s="11">
        <v>122057</v>
      </c>
      <c r="AD13" s="11">
        <v>197488</v>
      </c>
      <c r="AE13" s="11">
        <v>172509</v>
      </c>
      <c r="AF13" s="11">
        <v>153963.85999999999</v>
      </c>
      <c r="AG13" s="11">
        <v>274064</v>
      </c>
      <c r="AH13" s="11">
        <v>438299</v>
      </c>
      <c r="AI13" s="11">
        <v>91016</v>
      </c>
    </row>
    <row r="14" spans="1:35" s="8" customFormat="1" ht="14.25" customHeight="1" x14ac:dyDescent="0.25">
      <c r="A14" s="3" t="s">
        <v>124</v>
      </c>
      <c r="B14" s="11">
        <v>5000</v>
      </c>
      <c r="C14" s="41">
        <v>12118.09</v>
      </c>
      <c r="D14" s="11">
        <v>156783</v>
      </c>
      <c r="E14" s="11">
        <v>40259</v>
      </c>
      <c r="F14" s="11">
        <v>230622</v>
      </c>
      <c r="G14" s="11">
        <v>48961</v>
      </c>
      <c r="H14" s="11">
        <v>90059</v>
      </c>
      <c r="I14" s="11">
        <v>5000</v>
      </c>
      <c r="J14" s="11">
        <v>5000</v>
      </c>
      <c r="K14" s="11">
        <v>31568.83</v>
      </c>
      <c r="L14" s="11">
        <v>50066</v>
      </c>
      <c r="M14" s="11">
        <v>33988</v>
      </c>
      <c r="N14" s="11">
        <v>135536</v>
      </c>
      <c r="O14" s="11">
        <v>256716</v>
      </c>
      <c r="P14" s="41">
        <v>139135.03</v>
      </c>
      <c r="Q14" s="11">
        <v>6999</v>
      </c>
      <c r="R14" s="11">
        <v>26946</v>
      </c>
      <c r="S14" s="11">
        <v>20133</v>
      </c>
      <c r="T14" s="41">
        <v>10338.17</v>
      </c>
      <c r="U14" s="11">
        <v>17927</v>
      </c>
      <c r="V14" s="11">
        <v>390135</v>
      </c>
      <c r="W14" s="41">
        <v>669762.19999999995</v>
      </c>
      <c r="X14" s="11"/>
      <c r="Y14" s="11">
        <v>5000</v>
      </c>
      <c r="Z14" s="11">
        <v>120331</v>
      </c>
      <c r="AA14" s="11"/>
      <c r="AB14" s="11">
        <v>33897</v>
      </c>
      <c r="AC14" s="11">
        <v>66249</v>
      </c>
      <c r="AD14" s="11">
        <v>93309</v>
      </c>
      <c r="AE14" s="11">
        <v>49692</v>
      </c>
      <c r="AF14" s="11">
        <v>98821.57</v>
      </c>
      <c r="AG14" s="11">
        <v>130774</v>
      </c>
      <c r="AH14" s="11">
        <v>464141</v>
      </c>
      <c r="AI14" s="11">
        <v>44059</v>
      </c>
    </row>
    <row r="15" spans="1:35" s="42" customFormat="1" ht="14.25" customHeight="1" x14ac:dyDescent="0.25">
      <c r="A15" s="20" t="s">
        <v>125</v>
      </c>
      <c r="B15" s="41">
        <v>2.94</v>
      </c>
      <c r="C15" s="41">
        <v>2.4</v>
      </c>
      <c r="D15" s="41">
        <v>1.84</v>
      </c>
      <c r="E15" s="41">
        <v>1.52</v>
      </c>
      <c r="F15" s="88">
        <v>2.36</v>
      </c>
      <c r="G15" s="41">
        <v>1.67</v>
      </c>
      <c r="H15" s="41">
        <v>1.5720000000000001</v>
      </c>
      <c r="I15" s="41">
        <v>1.84</v>
      </c>
      <c r="J15" s="41">
        <v>2.4300000000000002</v>
      </c>
      <c r="K15" s="41">
        <v>15.11</v>
      </c>
      <c r="L15" s="41">
        <v>1.56</v>
      </c>
      <c r="M15" s="41">
        <v>1.57</v>
      </c>
      <c r="N15" s="41">
        <v>1.81</v>
      </c>
      <c r="O15" s="41">
        <v>2.1800000000000002</v>
      </c>
      <c r="P15" s="41">
        <v>1.63</v>
      </c>
      <c r="Q15" s="41">
        <v>2.44</v>
      </c>
      <c r="R15" s="41">
        <v>2.25</v>
      </c>
      <c r="S15" s="41">
        <v>1.58</v>
      </c>
      <c r="T15" s="41">
        <v>1.8624000000000001</v>
      </c>
      <c r="U15" s="41">
        <v>1.66</v>
      </c>
      <c r="V15" s="41">
        <v>0.11716559652427996</v>
      </c>
      <c r="W15" s="41">
        <v>2.1</v>
      </c>
      <c r="X15" s="41"/>
      <c r="Y15" s="41">
        <v>3</v>
      </c>
      <c r="Z15" s="41">
        <v>1.53</v>
      </c>
      <c r="AA15" s="41"/>
      <c r="AB15" s="41">
        <v>1.54</v>
      </c>
      <c r="AC15" s="41">
        <v>1.84</v>
      </c>
      <c r="AD15" s="41">
        <v>2.12</v>
      </c>
      <c r="AE15" s="41">
        <v>3.47</v>
      </c>
      <c r="AF15" s="41">
        <v>1.56</v>
      </c>
      <c r="AG15" s="41">
        <v>2.1</v>
      </c>
      <c r="AH15" s="41">
        <v>0.94</v>
      </c>
      <c r="AI15" s="41">
        <v>2.0699999999999998</v>
      </c>
    </row>
  </sheetData>
  <pageMargins left="0.7" right="0.7" top="0.75" bottom="0.75" header="0.3" footer="0.3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1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7" customWidth="1"/>
    <col min="2" max="10" width="16" style="7" customWidth="1"/>
    <col min="11" max="11" width="16" style="52" customWidth="1"/>
    <col min="12" max="12" width="16" style="7" customWidth="1"/>
    <col min="13" max="13" width="16" style="52" customWidth="1"/>
    <col min="14" max="82" width="16" style="7" customWidth="1"/>
    <col min="83" max="83" width="16" style="105" customWidth="1"/>
    <col min="84" max="84" width="16" style="7" customWidth="1"/>
    <col min="85" max="85" width="16" style="105" customWidth="1"/>
    <col min="86" max="137" width="16" style="7" customWidth="1"/>
    <col min="138" max="16384" width="9.140625" style="7"/>
  </cols>
  <sheetData>
    <row r="1" spans="1:137" ht="18.75" x14ac:dyDescent="0.3">
      <c r="A1" s="17" t="s">
        <v>126</v>
      </c>
    </row>
    <row r="2" spans="1:137" x14ac:dyDescent="0.25">
      <c r="A2" s="7" t="s">
        <v>127</v>
      </c>
    </row>
    <row r="3" spans="1:137" x14ac:dyDescent="0.25">
      <c r="A3" s="1" t="s">
        <v>0</v>
      </c>
      <c r="B3" s="107" t="s">
        <v>1</v>
      </c>
      <c r="C3" s="122"/>
      <c r="D3" s="122"/>
      <c r="E3" s="108"/>
      <c r="F3" s="107" t="s">
        <v>2</v>
      </c>
      <c r="G3" s="122"/>
      <c r="H3" s="122"/>
      <c r="I3" s="108"/>
      <c r="J3" s="107" t="s">
        <v>3</v>
      </c>
      <c r="K3" s="122"/>
      <c r="L3" s="122"/>
      <c r="M3" s="108"/>
      <c r="N3" s="107" t="s">
        <v>307</v>
      </c>
      <c r="O3" s="122"/>
      <c r="P3" s="122"/>
      <c r="Q3" s="108"/>
      <c r="R3" s="107" t="s">
        <v>5</v>
      </c>
      <c r="S3" s="122"/>
      <c r="T3" s="122"/>
      <c r="U3" s="108"/>
      <c r="V3" s="107" t="s">
        <v>6</v>
      </c>
      <c r="W3" s="122"/>
      <c r="X3" s="122"/>
      <c r="Y3" s="108"/>
      <c r="Z3" s="107" t="s">
        <v>7</v>
      </c>
      <c r="AA3" s="122"/>
      <c r="AB3" s="122"/>
      <c r="AC3" s="108"/>
      <c r="AD3" s="107" t="s">
        <v>8</v>
      </c>
      <c r="AE3" s="122"/>
      <c r="AF3" s="122"/>
      <c r="AG3" s="108"/>
      <c r="AH3" s="107" t="s">
        <v>9</v>
      </c>
      <c r="AI3" s="122"/>
      <c r="AJ3" s="122"/>
      <c r="AK3" s="108"/>
      <c r="AL3" s="107" t="s">
        <v>10</v>
      </c>
      <c r="AM3" s="122"/>
      <c r="AN3" s="122"/>
      <c r="AO3" s="108"/>
      <c r="AP3" s="107" t="s">
        <v>11</v>
      </c>
      <c r="AQ3" s="122"/>
      <c r="AR3" s="122"/>
      <c r="AS3" s="108"/>
      <c r="AT3" s="107" t="s">
        <v>12</v>
      </c>
      <c r="AU3" s="122"/>
      <c r="AV3" s="122"/>
      <c r="AW3" s="108"/>
      <c r="AX3" s="107" t="s">
        <v>13</v>
      </c>
      <c r="AY3" s="122"/>
      <c r="AZ3" s="122"/>
      <c r="BA3" s="108"/>
      <c r="BB3" s="107" t="s">
        <v>14</v>
      </c>
      <c r="BC3" s="122"/>
      <c r="BD3" s="122"/>
      <c r="BE3" s="108"/>
      <c r="BF3" s="107" t="s">
        <v>15</v>
      </c>
      <c r="BG3" s="122"/>
      <c r="BH3" s="122"/>
      <c r="BI3" s="108"/>
      <c r="BJ3" s="107" t="s">
        <v>16</v>
      </c>
      <c r="BK3" s="122"/>
      <c r="BL3" s="122"/>
      <c r="BM3" s="108"/>
      <c r="BN3" s="107" t="s">
        <v>17</v>
      </c>
      <c r="BO3" s="122"/>
      <c r="BP3" s="122"/>
      <c r="BQ3" s="108"/>
      <c r="BR3" s="107" t="s">
        <v>18</v>
      </c>
      <c r="BS3" s="122"/>
      <c r="BT3" s="122"/>
      <c r="BU3" s="108"/>
      <c r="BV3" s="107" t="s">
        <v>296</v>
      </c>
      <c r="BW3" s="122"/>
      <c r="BX3" s="122"/>
      <c r="BY3" s="108"/>
      <c r="BZ3" s="107" t="s">
        <v>19</v>
      </c>
      <c r="CA3" s="122"/>
      <c r="CB3" s="122"/>
      <c r="CC3" s="108"/>
      <c r="CD3" s="107" t="s">
        <v>20</v>
      </c>
      <c r="CE3" s="122"/>
      <c r="CF3" s="122"/>
      <c r="CG3" s="108"/>
      <c r="CH3" s="107" t="s">
        <v>21</v>
      </c>
      <c r="CI3" s="122"/>
      <c r="CJ3" s="122"/>
      <c r="CK3" s="108"/>
      <c r="CL3" s="107" t="s">
        <v>22</v>
      </c>
      <c r="CM3" s="122"/>
      <c r="CN3" s="122"/>
      <c r="CO3" s="108"/>
      <c r="CP3" s="107" t="s">
        <v>23</v>
      </c>
      <c r="CQ3" s="122"/>
      <c r="CR3" s="122"/>
      <c r="CS3" s="108"/>
      <c r="CT3" s="107" t="s">
        <v>24</v>
      </c>
      <c r="CU3" s="122"/>
      <c r="CV3" s="122"/>
      <c r="CW3" s="108"/>
      <c r="CX3" s="107" t="s">
        <v>25</v>
      </c>
      <c r="CY3" s="122"/>
      <c r="CZ3" s="122"/>
      <c r="DA3" s="108"/>
      <c r="DB3" s="107" t="s">
        <v>26</v>
      </c>
      <c r="DC3" s="122"/>
      <c r="DD3" s="122"/>
      <c r="DE3" s="108"/>
      <c r="DF3" s="107" t="s">
        <v>27</v>
      </c>
      <c r="DG3" s="122"/>
      <c r="DH3" s="122"/>
      <c r="DI3" s="108"/>
      <c r="DJ3" s="107" t="s">
        <v>28</v>
      </c>
      <c r="DK3" s="122"/>
      <c r="DL3" s="122"/>
      <c r="DM3" s="108"/>
      <c r="DN3" s="107" t="s">
        <v>29</v>
      </c>
      <c r="DO3" s="122"/>
      <c r="DP3" s="122"/>
      <c r="DQ3" s="108"/>
      <c r="DR3" s="107" t="s">
        <v>30</v>
      </c>
      <c r="DS3" s="122"/>
      <c r="DT3" s="122"/>
      <c r="DU3" s="108"/>
      <c r="DV3" s="127" t="s">
        <v>31</v>
      </c>
      <c r="DW3" s="128"/>
      <c r="DX3" s="128"/>
      <c r="DY3" s="129"/>
      <c r="DZ3" s="111" t="s">
        <v>32</v>
      </c>
      <c r="EA3" s="130"/>
      <c r="EB3" s="130"/>
      <c r="EC3" s="112"/>
      <c r="ED3" s="107" t="s">
        <v>33</v>
      </c>
      <c r="EE3" s="122"/>
      <c r="EF3" s="122"/>
      <c r="EG3" s="108"/>
    </row>
    <row r="4" spans="1:137" ht="15" customHeight="1" x14ac:dyDescent="0.25">
      <c r="A4" s="1"/>
      <c r="B4" s="125" t="s">
        <v>294</v>
      </c>
      <c r="C4" s="126"/>
      <c r="D4" s="123" t="s">
        <v>295</v>
      </c>
      <c r="E4" s="124"/>
      <c r="F4" s="125" t="s">
        <v>294</v>
      </c>
      <c r="G4" s="126"/>
      <c r="H4" s="123" t="s">
        <v>295</v>
      </c>
      <c r="I4" s="124"/>
      <c r="J4" s="125" t="s">
        <v>294</v>
      </c>
      <c r="K4" s="126"/>
      <c r="L4" s="123" t="s">
        <v>295</v>
      </c>
      <c r="M4" s="124"/>
      <c r="N4" s="125" t="s">
        <v>294</v>
      </c>
      <c r="O4" s="126"/>
      <c r="P4" s="123" t="s">
        <v>295</v>
      </c>
      <c r="Q4" s="124"/>
      <c r="R4" s="125" t="s">
        <v>294</v>
      </c>
      <c r="S4" s="126"/>
      <c r="T4" s="123" t="s">
        <v>295</v>
      </c>
      <c r="U4" s="124"/>
      <c r="V4" s="125" t="s">
        <v>294</v>
      </c>
      <c r="W4" s="126"/>
      <c r="X4" s="123" t="s">
        <v>295</v>
      </c>
      <c r="Y4" s="124"/>
      <c r="Z4" s="125" t="s">
        <v>294</v>
      </c>
      <c r="AA4" s="126"/>
      <c r="AB4" s="123" t="s">
        <v>295</v>
      </c>
      <c r="AC4" s="124"/>
      <c r="AD4" s="125" t="s">
        <v>294</v>
      </c>
      <c r="AE4" s="126"/>
      <c r="AF4" s="123" t="s">
        <v>295</v>
      </c>
      <c r="AG4" s="124"/>
      <c r="AH4" s="125" t="s">
        <v>294</v>
      </c>
      <c r="AI4" s="126"/>
      <c r="AJ4" s="123" t="s">
        <v>295</v>
      </c>
      <c r="AK4" s="124"/>
      <c r="AL4" s="125" t="s">
        <v>294</v>
      </c>
      <c r="AM4" s="126"/>
      <c r="AN4" s="123" t="s">
        <v>295</v>
      </c>
      <c r="AO4" s="124"/>
      <c r="AP4" s="125" t="s">
        <v>294</v>
      </c>
      <c r="AQ4" s="126"/>
      <c r="AR4" s="123" t="s">
        <v>295</v>
      </c>
      <c r="AS4" s="124"/>
      <c r="AT4" s="125" t="s">
        <v>294</v>
      </c>
      <c r="AU4" s="126"/>
      <c r="AV4" s="123" t="s">
        <v>295</v>
      </c>
      <c r="AW4" s="124"/>
      <c r="AX4" s="125" t="s">
        <v>294</v>
      </c>
      <c r="AY4" s="126"/>
      <c r="AZ4" s="123" t="s">
        <v>295</v>
      </c>
      <c r="BA4" s="124"/>
      <c r="BB4" s="125" t="s">
        <v>294</v>
      </c>
      <c r="BC4" s="126"/>
      <c r="BD4" s="123" t="s">
        <v>295</v>
      </c>
      <c r="BE4" s="124"/>
      <c r="BF4" s="125" t="s">
        <v>294</v>
      </c>
      <c r="BG4" s="126"/>
      <c r="BH4" s="123" t="s">
        <v>295</v>
      </c>
      <c r="BI4" s="124"/>
      <c r="BJ4" s="125" t="s">
        <v>294</v>
      </c>
      <c r="BK4" s="126"/>
      <c r="BL4" s="123" t="s">
        <v>295</v>
      </c>
      <c r="BM4" s="124"/>
      <c r="BN4" s="125" t="s">
        <v>294</v>
      </c>
      <c r="BO4" s="126"/>
      <c r="BP4" s="123" t="s">
        <v>295</v>
      </c>
      <c r="BQ4" s="124"/>
      <c r="BR4" s="125" t="s">
        <v>294</v>
      </c>
      <c r="BS4" s="126"/>
      <c r="BT4" s="123" t="s">
        <v>295</v>
      </c>
      <c r="BU4" s="124"/>
      <c r="BV4" s="125" t="s">
        <v>294</v>
      </c>
      <c r="BW4" s="126"/>
      <c r="BX4" s="123" t="s">
        <v>295</v>
      </c>
      <c r="BY4" s="124"/>
      <c r="BZ4" s="125" t="s">
        <v>294</v>
      </c>
      <c r="CA4" s="126"/>
      <c r="CB4" s="123" t="s">
        <v>295</v>
      </c>
      <c r="CC4" s="124"/>
      <c r="CD4" s="125" t="s">
        <v>294</v>
      </c>
      <c r="CE4" s="126"/>
      <c r="CF4" s="123" t="s">
        <v>295</v>
      </c>
      <c r="CG4" s="124"/>
      <c r="CH4" s="125" t="s">
        <v>294</v>
      </c>
      <c r="CI4" s="126"/>
      <c r="CJ4" s="123" t="s">
        <v>295</v>
      </c>
      <c r="CK4" s="124"/>
      <c r="CL4" s="125" t="s">
        <v>294</v>
      </c>
      <c r="CM4" s="126"/>
      <c r="CN4" s="123" t="s">
        <v>295</v>
      </c>
      <c r="CO4" s="124"/>
      <c r="CP4" s="125" t="s">
        <v>294</v>
      </c>
      <c r="CQ4" s="126"/>
      <c r="CR4" s="123" t="s">
        <v>295</v>
      </c>
      <c r="CS4" s="124"/>
      <c r="CT4" s="125" t="s">
        <v>294</v>
      </c>
      <c r="CU4" s="126"/>
      <c r="CV4" s="123" t="s">
        <v>295</v>
      </c>
      <c r="CW4" s="124"/>
      <c r="CX4" s="125" t="s">
        <v>294</v>
      </c>
      <c r="CY4" s="126"/>
      <c r="CZ4" s="123" t="s">
        <v>295</v>
      </c>
      <c r="DA4" s="124"/>
      <c r="DB4" s="125" t="s">
        <v>294</v>
      </c>
      <c r="DC4" s="126"/>
      <c r="DD4" s="123" t="s">
        <v>295</v>
      </c>
      <c r="DE4" s="124"/>
      <c r="DF4" s="125" t="s">
        <v>294</v>
      </c>
      <c r="DG4" s="126"/>
      <c r="DH4" s="123" t="s">
        <v>295</v>
      </c>
      <c r="DI4" s="124"/>
      <c r="DJ4" s="125" t="s">
        <v>294</v>
      </c>
      <c r="DK4" s="126"/>
      <c r="DL4" s="123" t="s">
        <v>295</v>
      </c>
      <c r="DM4" s="124"/>
      <c r="DN4" s="125" t="s">
        <v>294</v>
      </c>
      <c r="DO4" s="126"/>
      <c r="DP4" s="123" t="s">
        <v>295</v>
      </c>
      <c r="DQ4" s="124"/>
      <c r="DR4" s="125" t="s">
        <v>294</v>
      </c>
      <c r="DS4" s="126"/>
      <c r="DT4" s="123" t="s">
        <v>295</v>
      </c>
      <c r="DU4" s="124"/>
      <c r="DV4" s="125" t="s">
        <v>294</v>
      </c>
      <c r="DW4" s="126"/>
      <c r="DX4" s="123" t="s">
        <v>295</v>
      </c>
      <c r="DY4" s="124"/>
      <c r="DZ4" s="125" t="s">
        <v>294</v>
      </c>
      <c r="EA4" s="126"/>
      <c r="EB4" s="123" t="s">
        <v>295</v>
      </c>
      <c r="EC4" s="124"/>
      <c r="ED4" s="125" t="s">
        <v>294</v>
      </c>
      <c r="EE4" s="126"/>
      <c r="EF4" s="123" t="s">
        <v>295</v>
      </c>
      <c r="EG4" s="124"/>
    </row>
    <row r="5" spans="1:137" s="72" customFormat="1" x14ac:dyDescent="0.25">
      <c r="A5" s="71"/>
      <c r="B5" s="93" t="s">
        <v>137</v>
      </c>
      <c r="C5" s="93" t="s">
        <v>138</v>
      </c>
      <c r="D5" s="93" t="s">
        <v>137</v>
      </c>
      <c r="E5" s="93" t="s">
        <v>138</v>
      </c>
      <c r="F5" s="93" t="s">
        <v>137</v>
      </c>
      <c r="G5" s="93" t="s">
        <v>138</v>
      </c>
      <c r="H5" s="93" t="s">
        <v>137</v>
      </c>
      <c r="I5" s="93" t="s">
        <v>138</v>
      </c>
      <c r="J5" s="93" t="s">
        <v>137</v>
      </c>
      <c r="K5" s="103" t="s">
        <v>138</v>
      </c>
      <c r="L5" s="93" t="s">
        <v>137</v>
      </c>
      <c r="M5" s="103" t="s">
        <v>138</v>
      </c>
      <c r="N5" s="93" t="s">
        <v>137</v>
      </c>
      <c r="O5" s="93" t="s">
        <v>138</v>
      </c>
      <c r="P5" s="93" t="s">
        <v>137</v>
      </c>
      <c r="Q5" s="93" t="s">
        <v>138</v>
      </c>
      <c r="R5" s="93" t="s">
        <v>137</v>
      </c>
      <c r="S5" s="93" t="s">
        <v>138</v>
      </c>
      <c r="T5" s="93" t="s">
        <v>137</v>
      </c>
      <c r="U5" s="93" t="s">
        <v>138</v>
      </c>
      <c r="V5" s="93" t="s">
        <v>137</v>
      </c>
      <c r="W5" s="93" t="s">
        <v>138</v>
      </c>
      <c r="X5" s="93" t="s">
        <v>137</v>
      </c>
      <c r="Y5" s="93" t="s">
        <v>138</v>
      </c>
      <c r="Z5" s="93" t="s">
        <v>137</v>
      </c>
      <c r="AA5" s="93" t="s">
        <v>138</v>
      </c>
      <c r="AB5" s="93" t="s">
        <v>137</v>
      </c>
      <c r="AC5" s="93" t="s">
        <v>138</v>
      </c>
      <c r="AD5" s="93" t="s">
        <v>137</v>
      </c>
      <c r="AE5" s="93" t="s">
        <v>138</v>
      </c>
      <c r="AF5" s="93" t="s">
        <v>137</v>
      </c>
      <c r="AG5" s="93" t="s">
        <v>138</v>
      </c>
      <c r="AH5" s="93" t="s">
        <v>137</v>
      </c>
      <c r="AI5" s="93" t="s">
        <v>138</v>
      </c>
      <c r="AJ5" s="93" t="s">
        <v>137</v>
      </c>
      <c r="AK5" s="93" t="s">
        <v>138</v>
      </c>
      <c r="AL5" s="93" t="s">
        <v>137</v>
      </c>
      <c r="AM5" s="93" t="s">
        <v>138</v>
      </c>
      <c r="AN5" s="93" t="s">
        <v>137</v>
      </c>
      <c r="AO5" s="93" t="s">
        <v>138</v>
      </c>
      <c r="AP5" s="93" t="s">
        <v>137</v>
      </c>
      <c r="AQ5" s="93" t="s">
        <v>138</v>
      </c>
      <c r="AR5" s="93" t="s">
        <v>137</v>
      </c>
      <c r="AS5" s="93" t="s">
        <v>138</v>
      </c>
      <c r="AT5" s="93" t="s">
        <v>137</v>
      </c>
      <c r="AU5" s="93" t="s">
        <v>138</v>
      </c>
      <c r="AV5" s="93" t="s">
        <v>137</v>
      </c>
      <c r="AW5" s="93" t="s">
        <v>138</v>
      </c>
      <c r="AX5" s="93" t="s">
        <v>137</v>
      </c>
      <c r="AY5" s="93" t="s">
        <v>138</v>
      </c>
      <c r="AZ5" s="93" t="s">
        <v>137</v>
      </c>
      <c r="BA5" s="93" t="s">
        <v>138</v>
      </c>
      <c r="BB5" s="93" t="s">
        <v>137</v>
      </c>
      <c r="BC5" s="93" t="s">
        <v>138</v>
      </c>
      <c r="BD5" s="93" t="s">
        <v>137</v>
      </c>
      <c r="BE5" s="93" t="s">
        <v>138</v>
      </c>
      <c r="BF5" s="93" t="s">
        <v>137</v>
      </c>
      <c r="BG5" s="93" t="s">
        <v>138</v>
      </c>
      <c r="BH5" s="93" t="s">
        <v>137</v>
      </c>
      <c r="BI5" s="93" t="s">
        <v>138</v>
      </c>
      <c r="BJ5" s="93" t="s">
        <v>137</v>
      </c>
      <c r="BK5" s="93" t="s">
        <v>138</v>
      </c>
      <c r="BL5" s="93" t="s">
        <v>137</v>
      </c>
      <c r="BM5" s="93" t="s">
        <v>138</v>
      </c>
      <c r="BN5" s="93" t="s">
        <v>137</v>
      </c>
      <c r="BO5" s="93" t="s">
        <v>138</v>
      </c>
      <c r="BP5" s="93" t="s">
        <v>137</v>
      </c>
      <c r="BQ5" s="93" t="s">
        <v>138</v>
      </c>
      <c r="BR5" s="93" t="s">
        <v>137</v>
      </c>
      <c r="BS5" s="93" t="s">
        <v>138</v>
      </c>
      <c r="BT5" s="93" t="s">
        <v>137</v>
      </c>
      <c r="BU5" s="93" t="s">
        <v>138</v>
      </c>
      <c r="BV5" s="93" t="s">
        <v>137</v>
      </c>
      <c r="BW5" s="93" t="s">
        <v>138</v>
      </c>
      <c r="BX5" s="93" t="s">
        <v>137</v>
      </c>
      <c r="BY5" s="93" t="s">
        <v>138</v>
      </c>
      <c r="BZ5" s="93" t="s">
        <v>137</v>
      </c>
      <c r="CA5" s="93" t="s">
        <v>138</v>
      </c>
      <c r="CB5" s="93" t="s">
        <v>137</v>
      </c>
      <c r="CC5" s="93" t="s">
        <v>138</v>
      </c>
      <c r="CD5" s="93" t="s">
        <v>137</v>
      </c>
      <c r="CE5" s="103" t="s">
        <v>138</v>
      </c>
      <c r="CF5" s="93" t="s">
        <v>137</v>
      </c>
      <c r="CG5" s="103" t="s">
        <v>138</v>
      </c>
      <c r="CH5" s="93" t="s">
        <v>137</v>
      </c>
      <c r="CI5" s="93" t="s">
        <v>138</v>
      </c>
      <c r="CJ5" s="93" t="s">
        <v>137</v>
      </c>
      <c r="CK5" s="93" t="s">
        <v>138</v>
      </c>
      <c r="CL5" s="93" t="s">
        <v>137</v>
      </c>
      <c r="CM5" s="93" t="s">
        <v>138</v>
      </c>
      <c r="CN5" s="93" t="s">
        <v>137</v>
      </c>
      <c r="CO5" s="93" t="s">
        <v>138</v>
      </c>
      <c r="CP5" s="93" t="s">
        <v>137</v>
      </c>
      <c r="CQ5" s="93" t="s">
        <v>138</v>
      </c>
      <c r="CR5" s="93" t="s">
        <v>137</v>
      </c>
      <c r="CS5" s="93" t="s">
        <v>138</v>
      </c>
      <c r="CT5" s="93" t="s">
        <v>137</v>
      </c>
      <c r="CU5" s="93" t="s">
        <v>138</v>
      </c>
      <c r="CV5" s="93" t="s">
        <v>137</v>
      </c>
      <c r="CW5" s="93" t="s">
        <v>138</v>
      </c>
      <c r="CX5" s="93" t="s">
        <v>137</v>
      </c>
      <c r="CY5" s="93" t="s">
        <v>138</v>
      </c>
      <c r="CZ5" s="93" t="s">
        <v>137</v>
      </c>
      <c r="DA5" s="93" t="s">
        <v>138</v>
      </c>
      <c r="DB5" s="93" t="s">
        <v>137</v>
      </c>
      <c r="DC5" s="93" t="s">
        <v>138</v>
      </c>
      <c r="DD5" s="93" t="s">
        <v>137</v>
      </c>
      <c r="DE5" s="93" t="s">
        <v>138</v>
      </c>
      <c r="DF5" s="93" t="s">
        <v>137</v>
      </c>
      <c r="DG5" s="93" t="s">
        <v>138</v>
      </c>
      <c r="DH5" s="93" t="s">
        <v>137</v>
      </c>
      <c r="DI5" s="93" t="s">
        <v>138</v>
      </c>
      <c r="DJ5" s="93" t="s">
        <v>137</v>
      </c>
      <c r="DK5" s="93" t="s">
        <v>138</v>
      </c>
      <c r="DL5" s="93" t="s">
        <v>137</v>
      </c>
      <c r="DM5" s="93" t="s">
        <v>138</v>
      </c>
      <c r="DN5" s="93" t="s">
        <v>137</v>
      </c>
      <c r="DO5" s="93" t="s">
        <v>138</v>
      </c>
      <c r="DP5" s="93" t="s">
        <v>137</v>
      </c>
      <c r="DQ5" s="93" t="s">
        <v>138</v>
      </c>
      <c r="DR5" s="93" t="s">
        <v>137</v>
      </c>
      <c r="DS5" s="93" t="s">
        <v>138</v>
      </c>
      <c r="DT5" s="93" t="s">
        <v>137</v>
      </c>
      <c r="DU5" s="93" t="s">
        <v>138</v>
      </c>
      <c r="DV5" s="93" t="s">
        <v>137</v>
      </c>
      <c r="DW5" s="93" t="s">
        <v>138</v>
      </c>
      <c r="DX5" s="93" t="s">
        <v>137</v>
      </c>
      <c r="DY5" s="93" t="s">
        <v>138</v>
      </c>
      <c r="DZ5" s="93" t="s">
        <v>137</v>
      </c>
      <c r="EA5" s="93" t="s">
        <v>138</v>
      </c>
      <c r="EB5" s="93" t="s">
        <v>137</v>
      </c>
      <c r="EC5" s="93" t="s">
        <v>138</v>
      </c>
      <c r="ED5" s="93" t="s">
        <v>137</v>
      </c>
      <c r="EE5" s="93" t="s">
        <v>138</v>
      </c>
      <c r="EF5" s="93" t="s">
        <v>137</v>
      </c>
      <c r="EG5" s="93" t="s">
        <v>138</v>
      </c>
    </row>
    <row r="6" spans="1:137" x14ac:dyDescent="0.25">
      <c r="A6" s="10" t="s">
        <v>128</v>
      </c>
      <c r="B6" s="10"/>
      <c r="C6" s="10"/>
      <c r="D6" s="10"/>
      <c r="E6" s="10"/>
      <c r="F6" s="10">
        <v>26026</v>
      </c>
      <c r="G6" s="10">
        <v>3396</v>
      </c>
      <c r="H6" s="10">
        <v>65459</v>
      </c>
      <c r="I6" s="10">
        <v>8211</v>
      </c>
      <c r="J6" s="10"/>
      <c r="K6" s="23"/>
      <c r="L6" s="10"/>
      <c r="M6" s="23"/>
      <c r="N6" s="10">
        <v>230793</v>
      </c>
      <c r="O6" s="10">
        <v>33674</v>
      </c>
      <c r="P6" s="10">
        <v>709138</v>
      </c>
      <c r="Q6" s="10">
        <v>88842</v>
      </c>
      <c r="R6" s="7">
        <v>1045031</v>
      </c>
      <c r="S6" s="10">
        <v>64072</v>
      </c>
      <c r="T6" s="10">
        <v>3043286</v>
      </c>
      <c r="U6" s="10">
        <v>188580</v>
      </c>
      <c r="V6" s="10">
        <v>116225</v>
      </c>
      <c r="W6" s="10">
        <v>7230</v>
      </c>
      <c r="X6" s="10">
        <v>312313</v>
      </c>
      <c r="Y6" s="10">
        <v>21845</v>
      </c>
      <c r="Z6" s="10">
        <v>7827</v>
      </c>
      <c r="AA6" s="10">
        <v>1038</v>
      </c>
      <c r="AB6" s="10">
        <v>25065</v>
      </c>
      <c r="AC6" s="10">
        <v>3443</v>
      </c>
      <c r="AD6" s="10">
        <v>15370</v>
      </c>
      <c r="AE6" s="10">
        <v>234</v>
      </c>
      <c r="AF6" s="10">
        <v>69020</v>
      </c>
      <c r="AG6" s="10">
        <v>1071</v>
      </c>
      <c r="AH6" s="10">
        <v>1610</v>
      </c>
      <c r="AI6" s="10">
        <v>205.8</v>
      </c>
      <c r="AJ6" s="10">
        <v>3836</v>
      </c>
      <c r="AK6" s="10">
        <v>493.99</v>
      </c>
      <c r="AL6" s="10"/>
      <c r="AM6" s="10"/>
      <c r="AN6" s="10"/>
      <c r="AO6" s="10"/>
      <c r="AP6" s="10">
        <v>155401</v>
      </c>
      <c r="AQ6" s="10">
        <v>18039.41</v>
      </c>
      <c r="AR6" s="10">
        <v>290822</v>
      </c>
      <c r="AS6" s="10">
        <v>35077.97</v>
      </c>
      <c r="AT6" s="10">
        <v>477443</v>
      </c>
      <c r="AU6" s="10">
        <v>18431</v>
      </c>
      <c r="AV6" s="10">
        <v>1244466</v>
      </c>
      <c r="AW6" s="10">
        <v>43959</v>
      </c>
      <c r="AX6" s="10">
        <v>185782</v>
      </c>
      <c r="AY6" s="10">
        <v>22053.7</v>
      </c>
      <c r="AZ6" s="10">
        <v>545076</v>
      </c>
      <c r="BA6" s="10">
        <v>62259</v>
      </c>
      <c r="BB6" s="10">
        <v>441087</v>
      </c>
      <c r="BC6" s="10">
        <v>38745</v>
      </c>
      <c r="BD6" s="10">
        <v>1123159</v>
      </c>
      <c r="BE6" s="10">
        <v>108742</v>
      </c>
      <c r="BF6" s="10">
        <v>1137023</v>
      </c>
      <c r="BG6" s="10">
        <v>46586.38</v>
      </c>
      <c r="BH6" s="10">
        <v>3294827</v>
      </c>
      <c r="BI6" s="10">
        <v>116688.39</v>
      </c>
      <c r="BJ6" s="10">
        <v>3469</v>
      </c>
      <c r="BK6" s="10">
        <v>436</v>
      </c>
      <c r="BL6" s="10">
        <v>8339</v>
      </c>
      <c r="BM6" s="10">
        <v>1135</v>
      </c>
      <c r="BN6" s="10">
        <v>37628</v>
      </c>
      <c r="BO6" s="10">
        <v>3563</v>
      </c>
      <c r="BP6" s="10">
        <v>111361</v>
      </c>
      <c r="BQ6" s="10">
        <v>9674</v>
      </c>
      <c r="BR6" s="10">
        <v>38085</v>
      </c>
      <c r="BS6" s="10">
        <v>3176</v>
      </c>
      <c r="BT6" s="10">
        <v>111274</v>
      </c>
      <c r="BU6" s="10">
        <v>8834</v>
      </c>
      <c r="BV6" s="10">
        <v>26294</v>
      </c>
      <c r="BW6" s="10">
        <v>3684</v>
      </c>
      <c r="BX6" s="10">
        <v>71438</v>
      </c>
      <c r="BY6" s="10">
        <v>10558</v>
      </c>
      <c r="BZ6" s="10">
        <v>270891</v>
      </c>
      <c r="CA6" s="10">
        <v>10294</v>
      </c>
      <c r="CB6" s="10">
        <v>347173</v>
      </c>
      <c r="CC6" s="10">
        <v>30414</v>
      </c>
      <c r="CD6" s="10">
        <v>2355737</v>
      </c>
      <c r="CE6" s="23">
        <v>146993.17000000001</v>
      </c>
      <c r="CF6" s="10">
        <v>7082825</v>
      </c>
      <c r="CG6" s="23">
        <v>451850.99</v>
      </c>
      <c r="CH6" s="10">
        <v>198485</v>
      </c>
      <c r="CI6" s="10">
        <v>245089</v>
      </c>
      <c r="CJ6" s="10"/>
      <c r="CK6" s="10"/>
      <c r="CL6" s="10">
        <v>1789423</v>
      </c>
      <c r="CM6" s="10">
        <v>115879.85</v>
      </c>
      <c r="CN6" s="10">
        <v>5265669</v>
      </c>
      <c r="CO6" s="10">
        <v>388904.68</v>
      </c>
      <c r="CP6" s="10">
        <v>498</v>
      </c>
      <c r="CQ6" s="10">
        <v>86.72</v>
      </c>
      <c r="CR6" s="10">
        <v>930</v>
      </c>
      <c r="CS6" s="10">
        <v>188</v>
      </c>
      <c r="CT6" s="10">
        <v>411561</v>
      </c>
      <c r="CU6" s="10">
        <v>29502</v>
      </c>
      <c r="CV6" s="10">
        <v>1359814</v>
      </c>
      <c r="CW6" s="10">
        <v>99828</v>
      </c>
      <c r="CX6" s="10"/>
      <c r="CY6" s="10"/>
      <c r="CZ6" s="10"/>
      <c r="DA6" s="10"/>
      <c r="DB6" s="10">
        <v>118520</v>
      </c>
      <c r="DC6" s="10">
        <v>17232</v>
      </c>
      <c r="DD6" s="10">
        <v>325093</v>
      </c>
      <c r="DE6" s="10">
        <v>47119</v>
      </c>
      <c r="DF6" s="10">
        <v>118252</v>
      </c>
      <c r="DG6" s="10">
        <v>15584</v>
      </c>
      <c r="DH6" s="10">
        <v>302616</v>
      </c>
      <c r="DI6" s="10">
        <v>41735</v>
      </c>
      <c r="DJ6" s="10">
        <v>56410</v>
      </c>
      <c r="DK6" s="10">
        <v>8081</v>
      </c>
      <c r="DL6" s="10">
        <v>140580</v>
      </c>
      <c r="DM6" s="10">
        <v>19801</v>
      </c>
      <c r="DN6" s="10">
        <v>613728</v>
      </c>
      <c r="DO6" s="10">
        <v>26523.79</v>
      </c>
      <c r="DP6" s="10">
        <v>1426178</v>
      </c>
      <c r="DQ6" s="10">
        <v>71972.67</v>
      </c>
      <c r="DR6" s="10">
        <v>1085575</v>
      </c>
      <c r="DS6" s="10">
        <v>128920</v>
      </c>
      <c r="DT6" s="10">
        <v>2820624</v>
      </c>
      <c r="DU6" s="10">
        <v>334905</v>
      </c>
      <c r="DV6" s="10">
        <v>319102</v>
      </c>
      <c r="DW6" s="10">
        <v>39262</v>
      </c>
      <c r="DX6" s="10">
        <v>971677</v>
      </c>
      <c r="DY6" s="10">
        <v>122951</v>
      </c>
      <c r="DZ6" s="10">
        <v>3354884</v>
      </c>
      <c r="EA6" s="10">
        <v>203226</v>
      </c>
      <c r="EB6" s="10">
        <v>10576145</v>
      </c>
      <c r="EC6" s="10">
        <v>605478</v>
      </c>
      <c r="ED6" s="10">
        <v>17985</v>
      </c>
      <c r="EE6" s="10">
        <v>2687</v>
      </c>
      <c r="EF6" s="10">
        <v>54521</v>
      </c>
      <c r="EG6" s="10">
        <v>7617</v>
      </c>
    </row>
    <row r="7" spans="1:137" x14ac:dyDescent="0.25">
      <c r="A7" s="10" t="s">
        <v>129</v>
      </c>
      <c r="B7" s="10">
        <v>1</v>
      </c>
      <c r="C7" s="10">
        <v>0.107</v>
      </c>
      <c r="D7" s="10">
        <v>513</v>
      </c>
      <c r="E7" s="10">
        <v>36.513919999999999</v>
      </c>
      <c r="F7" s="10">
        <v>72115</v>
      </c>
      <c r="G7" s="10">
        <v>7170</v>
      </c>
      <c r="H7" s="10">
        <v>158970</v>
      </c>
      <c r="I7" s="10">
        <v>15510</v>
      </c>
      <c r="J7" s="10"/>
      <c r="K7" s="23"/>
      <c r="L7" s="10"/>
      <c r="M7" s="23"/>
      <c r="N7" s="10">
        <v>13934</v>
      </c>
      <c r="O7" s="10">
        <v>9905</v>
      </c>
      <c r="P7" s="10">
        <v>59764</v>
      </c>
      <c r="Q7" s="10">
        <v>27526</v>
      </c>
      <c r="R7" s="10">
        <v>2111043</v>
      </c>
      <c r="S7" s="10">
        <v>38722</v>
      </c>
      <c r="T7" s="10">
        <v>5673150</v>
      </c>
      <c r="U7" s="10">
        <v>110819</v>
      </c>
      <c r="V7" s="10">
        <v>102213</v>
      </c>
      <c r="W7" s="10">
        <v>4503</v>
      </c>
      <c r="X7" s="10">
        <v>228150</v>
      </c>
      <c r="Y7" s="10">
        <v>10970</v>
      </c>
      <c r="Z7" s="10">
        <v>348855</v>
      </c>
      <c r="AA7" s="10">
        <v>38366</v>
      </c>
      <c r="AB7" s="10">
        <v>939895</v>
      </c>
      <c r="AC7" s="10">
        <v>104165</v>
      </c>
      <c r="AD7" s="10">
        <v>3</v>
      </c>
      <c r="AE7" s="10"/>
      <c r="AF7" s="10">
        <v>9</v>
      </c>
      <c r="AG7" s="10"/>
      <c r="AH7" s="10"/>
      <c r="AI7" s="10"/>
      <c r="AJ7" s="10"/>
      <c r="AK7" s="10"/>
      <c r="AL7" s="10"/>
      <c r="AM7" s="10"/>
      <c r="AN7" s="10"/>
      <c r="AO7" s="10"/>
      <c r="AP7" s="10">
        <v>199222</v>
      </c>
      <c r="AQ7" s="10">
        <v>4074.41</v>
      </c>
      <c r="AR7" s="10">
        <v>359452</v>
      </c>
      <c r="AS7" s="10">
        <v>7798.24</v>
      </c>
      <c r="AT7" s="10"/>
      <c r="AU7" s="10">
        <v>20</v>
      </c>
      <c r="AV7" s="10"/>
      <c r="AW7" s="10">
        <v>99</v>
      </c>
      <c r="AX7" s="10">
        <v>691307</v>
      </c>
      <c r="AY7" s="10">
        <v>41024.199999999997</v>
      </c>
      <c r="AZ7" s="10">
        <v>1967248</v>
      </c>
      <c r="BA7" s="10">
        <v>110994.3</v>
      </c>
      <c r="BB7" s="10">
        <v>274095</v>
      </c>
      <c r="BC7" s="10">
        <v>40184</v>
      </c>
      <c r="BD7" s="10">
        <v>586343</v>
      </c>
      <c r="BE7" s="10">
        <v>103773</v>
      </c>
      <c r="BF7" s="10">
        <v>46529</v>
      </c>
      <c r="BG7" s="10">
        <v>1521.97</v>
      </c>
      <c r="BH7" s="10">
        <v>141771</v>
      </c>
      <c r="BI7" s="10">
        <v>3936.29</v>
      </c>
      <c r="BJ7" s="10">
        <v>37897</v>
      </c>
      <c r="BK7" s="10">
        <v>3139</v>
      </c>
      <c r="BL7" s="10">
        <v>106677</v>
      </c>
      <c r="BM7" s="10">
        <v>9123</v>
      </c>
      <c r="BN7" s="10">
        <v>26978</v>
      </c>
      <c r="BO7" s="10">
        <v>643</v>
      </c>
      <c r="BP7" s="10">
        <v>71312</v>
      </c>
      <c r="BQ7" s="10">
        <v>1717</v>
      </c>
      <c r="BR7" s="10">
        <v>1655</v>
      </c>
      <c r="BS7" s="10">
        <v>19</v>
      </c>
      <c r="BT7" s="10">
        <v>5816</v>
      </c>
      <c r="BU7" s="10">
        <v>77</v>
      </c>
      <c r="BV7" s="10">
        <v>4392</v>
      </c>
      <c r="BW7" s="10">
        <v>3006</v>
      </c>
      <c r="BX7" s="10">
        <v>10845</v>
      </c>
      <c r="BY7" s="10">
        <v>7769</v>
      </c>
      <c r="BZ7" s="10">
        <v>85819</v>
      </c>
      <c r="CA7" s="10">
        <v>6589</v>
      </c>
      <c r="CB7" s="10">
        <v>101658</v>
      </c>
      <c r="CC7" s="10">
        <v>16581</v>
      </c>
      <c r="CD7" s="10">
        <v>10710</v>
      </c>
      <c r="CE7" s="23">
        <v>438.15</v>
      </c>
      <c r="CF7" s="10">
        <v>38625</v>
      </c>
      <c r="CG7" s="23">
        <v>1558.99</v>
      </c>
      <c r="CH7" s="10">
        <v>115705</v>
      </c>
      <c r="CI7" s="10">
        <v>9264</v>
      </c>
      <c r="CJ7" s="10"/>
      <c r="CK7" s="10"/>
      <c r="CL7" s="10">
        <v>34307</v>
      </c>
      <c r="CM7" s="10">
        <v>18268.8</v>
      </c>
      <c r="CN7" s="10">
        <v>84948</v>
      </c>
      <c r="CO7" s="10">
        <v>20238.98</v>
      </c>
      <c r="CP7" s="10"/>
      <c r="CQ7" s="10"/>
      <c r="CR7" s="10"/>
      <c r="CS7" s="10"/>
      <c r="CT7" s="10">
        <v>131519</v>
      </c>
      <c r="CU7" s="10">
        <v>6701</v>
      </c>
      <c r="CV7" s="10">
        <v>420493</v>
      </c>
      <c r="CW7" s="10">
        <v>20086</v>
      </c>
      <c r="CX7" s="10"/>
      <c r="CY7" s="10"/>
      <c r="CZ7" s="10"/>
      <c r="DA7" s="10"/>
      <c r="DB7" s="10">
        <v>28269</v>
      </c>
      <c r="DC7" s="10">
        <v>9279</v>
      </c>
      <c r="DD7" s="10">
        <v>88742</v>
      </c>
      <c r="DE7" s="10">
        <v>26067</v>
      </c>
      <c r="DF7" s="10">
        <v>11345</v>
      </c>
      <c r="DG7" s="10">
        <v>1432</v>
      </c>
      <c r="DH7" s="10">
        <v>36736</v>
      </c>
      <c r="DI7" s="10">
        <v>5162</v>
      </c>
      <c r="DJ7" s="10">
        <v>972334</v>
      </c>
      <c r="DK7" s="10">
        <v>53880</v>
      </c>
      <c r="DL7" s="10">
        <v>2608073</v>
      </c>
      <c r="DM7" s="10">
        <v>150826</v>
      </c>
      <c r="DN7" s="10">
        <v>7759</v>
      </c>
      <c r="DO7" s="10">
        <v>87.48</v>
      </c>
      <c r="DP7" s="10">
        <v>17285</v>
      </c>
      <c r="DQ7" s="10">
        <v>235.17</v>
      </c>
      <c r="DR7" s="10">
        <v>37092</v>
      </c>
      <c r="DS7" s="10">
        <v>3369</v>
      </c>
      <c r="DT7" s="10">
        <v>81337</v>
      </c>
      <c r="DU7" s="10">
        <v>8125</v>
      </c>
      <c r="DV7" s="10">
        <v>455784</v>
      </c>
      <c r="DW7" s="10">
        <v>20126</v>
      </c>
      <c r="DX7" s="10">
        <v>1160228</v>
      </c>
      <c r="DY7" s="10">
        <v>53274</v>
      </c>
      <c r="DZ7" s="10">
        <v>180632</v>
      </c>
      <c r="EA7" s="10">
        <v>10013</v>
      </c>
      <c r="EB7" s="10">
        <v>553555</v>
      </c>
      <c r="EC7" s="10">
        <v>38934</v>
      </c>
      <c r="ED7" s="10">
        <v>132943</v>
      </c>
      <c r="EE7" s="10">
        <v>8019</v>
      </c>
      <c r="EF7" s="10">
        <v>456029</v>
      </c>
      <c r="EG7" s="10">
        <v>26186</v>
      </c>
    </row>
    <row r="8" spans="1:137" x14ac:dyDescent="0.25">
      <c r="A8" s="10" t="s">
        <v>130</v>
      </c>
      <c r="B8" s="10">
        <v>5757</v>
      </c>
      <c r="C8" s="10">
        <v>329.26053000000002</v>
      </c>
      <c r="D8" s="10">
        <v>5773</v>
      </c>
      <c r="E8" s="10">
        <v>336.60417000000001</v>
      </c>
      <c r="F8" s="10">
        <v>886</v>
      </c>
      <c r="G8" s="10">
        <v>4036</v>
      </c>
      <c r="H8" s="10">
        <v>2662</v>
      </c>
      <c r="I8" s="10">
        <v>8627</v>
      </c>
      <c r="J8" s="10"/>
      <c r="K8" s="23"/>
      <c r="L8" s="10"/>
      <c r="M8" s="23"/>
      <c r="N8" s="10">
        <v>937</v>
      </c>
      <c r="O8" s="10">
        <v>394</v>
      </c>
      <c r="P8" s="10">
        <v>2799</v>
      </c>
      <c r="Q8" s="10">
        <v>1059</v>
      </c>
      <c r="R8" s="10">
        <v>675331</v>
      </c>
      <c r="S8" s="10">
        <v>10389</v>
      </c>
      <c r="T8" s="10">
        <v>1649632</v>
      </c>
      <c r="U8" s="10">
        <v>35237</v>
      </c>
      <c r="V8" s="10">
        <v>538404</v>
      </c>
      <c r="W8" s="10">
        <v>5155</v>
      </c>
      <c r="X8" s="10">
        <v>1262321</v>
      </c>
      <c r="Y8" s="10">
        <v>13489</v>
      </c>
      <c r="Z8" s="10">
        <v>662423</v>
      </c>
      <c r="AA8" s="10">
        <v>41328</v>
      </c>
      <c r="AB8" s="10">
        <v>1815516</v>
      </c>
      <c r="AC8" s="10">
        <v>136285</v>
      </c>
      <c r="AD8" s="10">
        <v>22920</v>
      </c>
      <c r="AE8" s="10">
        <v>1411</v>
      </c>
      <c r="AF8" s="10">
        <v>60270</v>
      </c>
      <c r="AG8" s="10">
        <v>3677</v>
      </c>
      <c r="AH8" s="10">
        <v>138</v>
      </c>
      <c r="AI8" s="10">
        <v>27.45</v>
      </c>
      <c r="AJ8" s="10">
        <v>148</v>
      </c>
      <c r="AK8" s="10">
        <v>28.51</v>
      </c>
      <c r="AL8" s="10"/>
      <c r="AM8" s="10"/>
      <c r="AN8" s="10"/>
      <c r="AO8" s="10"/>
      <c r="AP8" s="10">
        <v>15552</v>
      </c>
      <c r="AQ8" s="10">
        <v>1709.44</v>
      </c>
      <c r="AR8" s="10">
        <v>30993</v>
      </c>
      <c r="AS8" s="10">
        <v>3082.93</v>
      </c>
      <c r="AT8" s="10">
        <v>7964</v>
      </c>
      <c r="AU8" s="10">
        <v>2003</v>
      </c>
      <c r="AV8" s="10">
        <v>25502</v>
      </c>
      <c r="AW8" s="10">
        <v>6113</v>
      </c>
      <c r="AX8" s="10">
        <v>91525</v>
      </c>
      <c r="AY8" s="10">
        <v>15344.6</v>
      </c>
      <c r="AZ8" s="10">
        <v>279413</v>
      </c>
      <c r="BA8" s="10">
        <v>44377.5</v>
      </c>
      <c r="BB8" s="10">
        <v>96420</v>
      </c>
      <c r="BC8" s="10">
        <v>14624</v>
      </c>
      <c r="BD8" s="10">
        <v>211601</v>
      </c>
      <c r="BE8" s="10">
        <v>32794</v>
      </c>
      <c r="BF8" s="10">
        <v>13394</v>
      </c>
      <c r="BG8" s="10">
        <v>673.28</v>
      </c>
      <c r="BH8" s="10">
        <v>28418</v>
      </c>
      <c r="BI8" s="10">
        <v>1271.81</v>
      </c>
      <c r="BJ8" s="10">
        <v>93446</v>
      </c>
      <c r="BK8" s="10">
        <v>1080</v>
      </c>
      <c r="BL8" s="10">
        <v>253925</v>
      </c>
      <c r="BM8" s="10">
        <v>2968</v>
      </c>
      <c r="BN8" s="10">
        <v>6175</v>
      </c>
      <c r="BO8" s="10">
        <v>765</v>
      </c>
      <c r="BP8" s="10">
        <v>13102</v>
      </c>
      <c r="BQ8" s="10">
        <v>2096</v>
      </c>
      <c r="BR8" s="10">
        <v>30307</v>
      </c>
      <c r="BS8" s="10">
        <v>4731</v>
      </c>
      <c r="BT8" s="10">
        <v>85617</v>
      </c>
      <c r="BU8" s="10">
        <v>13490</v>
      </c>
      <c r="BV8" s="10">
        <v>4342</v>
      </c>
      <c r="BW8" s="10">
        <v>550</v>
      </c>
      <c r="BX8" s="10">
        <v>14845</v>
      </c>
      <c r="BY8" s="10">
        <v>1452</v>
      </c>
      <c r="BZ8" s="10">
        <v>1732</v>
      </c>
      <c r="CA8" s="10">
        <v>3733</v>
      </c>
      <c r="CB8" s="10">
        <v>1802</v>
      </c>
      <c r="CC8" s="10">
        <v>9672</v>
      </c>
      <c r="CD8" s="10">
        <v>811907</v>
      </c>
      <c r="CE8" s="23">
        <v>11806.38</v>
      </c>
      <c r="CF8" s="10">
        <v>2160062</v>
      </c>
      <c r="CG8" s="23">
        <v>32391.62</v>
      </c>
      <c r="CH8" s="10">
        <v>-159932</v>
      </c>
      <c r="CI8" s="10">
        <v>62037</v>
      </c>
      <c r="CJ8" s="10"/>
      <c r="CK8" s="10"/>
      <c r="CL8" s="10">
        <v>14969</v>
      </c>
      <c r="CM8" s="10">
        <v>780.52</v>
      </c>
      <c r="CN8" s="10">
        <v>46546</v>
      </c>
      <c r="CO8" s="10">
        <v>2194.36</v>
      </c>
      <c r="CP8" s="10"/>
      <c r="CQ8" s="10"/>
      <c r="CR8" s="10"/>
      <c r="CS8" s="10"/>
      <c r="CT8" s="10">
        <v>34020</v>
      </c>
      <c r="CU8" s="10">
        <v>7134</v>
      </c>
      <c r="CV8" s="10">
        <v>96923</v>
      </c>
      <c r="CW8" s="10">
        <v>20762</v>
      </c>
      <c r="CX8" s="10"/>
      <c r="CY8" s="10"/>
      <c r="CZ8" s="10"/>
      <c r="DA8" s="10"/>
      <c r="DB8" s="10">
        <v>3023</v>
      </c>
      <c r="DC8" s="10">
        <v>620</v>
      </c>
      <c r="DD8" s="10">
        <v>7264</v>
      </c>
      <c r="DE8" s="10">
        <v>1489</v>
      </c>
      <c r="DF8" s="10">
        <v>40580</v>
      </c>
      <c r="DG8" s="10">
        <v>10277</v>
      </c>
      <c r="DH8" s="10">
        <v>117816</v>
      </c>
      <c r="DI8" s="10">
        <v>32076</v>
      </c>
      <c r="DJ8" s="10">
        <v>912</v>
      </c>
      <c r="DK8" s="10">
        <v>73</v>
      </c>
      <c r="DL8" s="10">
        <v>2538</v>
      </c>
      <c r="DM8" s="10">
        <v>215</v>
      </c>
      <c r="DN8" s="10">
        <v>123130</v>
      </c>
      <c r="DO8" s="10">
        <v>25465.07</v>
      </c>
      <c r="DP8" s="10">
        <v>413812</v>
      </c>
      <c r="DQ8" s="10">
        <v>82448.27</v>
      </c>
      <c r="DR8" s="10">
        <v>2409</v>
      </c>
      <c r="DS8" s="10">
        <v>299</v>
      </c>
      <c r="DT8" s="10">
        <v>6418</v>
      </c>
      <c r="DU8" s="10">
        <v>739</v>
      </c>
      <c r="DV8" s="10">
        <v>359922</v>
      </c>
      <c r="DW8" s="10">
        <v>6188</v>
      </c>
      <c r="DX8" s="10">
        <v>1274379</v>
      </c>
      <c r="DY8" s="10">
        <v>15203</v>
      </c>
      <c r="DZ8" s="10">
        <v>12633</v>
      </c>
      <c r="EA8" s="10">
        <v>2493</v>
      </c>
      <c r="EB8" s="10">
        <v>31567</v>
      </c>
      <c r="EC8" s="10">
        <v>5828</v>
      </c>
      <c r="ED8" s="10">
        <v>63</v>
      </c>
      <c r="EE8" s="10">
        <v>32</v>
      </c>
      <c r="EF8" s="10">
        <v>201</v>
      </c>
      <c r="EG8" s="10">
        <v>45</v>
      </c>
    </row>
    <row r="9" spans="1:137" x14ac:dyDescent="0.25">
      <c r="A9" s="10" t="s">
        <v>131</v>
      </c>
      <c r="B9" s="10">
        <v>112162</v>
      </c>
      <c r="C9" s="10">
        <v>1540.4535599999999</v>
      </c>
      <c r="D9" s="10">
        <v>290242</v>
      </c>
      <c r="E9" s="10">
        <v>4020.04261</v>
      </c>
      <c r="F9" s="10">
        <v>5532</v>
      </c>
      <c r="G9" s="10">
        <v>6062</v>
      </c>
      <c r="H9" s="10">
        <v>15429</v>
      </c>
      <c r="I9" s="10">
        <v>16995</v>
      </c>
      <c r="J9" s="10">
        <v>1529444</v>
      </c>
      <c r="K9" s="23">
        <v>17291.04</v>
      </c>
      <c r="L9" s="10">
        <v>2498280</v>
      </c>
      <c r="M9" s="23">
        <v>23554.57</v>
      </c>
      <c r="N9" s="10">
        <v>17490</v>
      </c>
      <c r="O9" s="10">
        <v>3911</v>
      </c>
      <c r="P9" s="10">
        <v>55593</v>
      </c>
      <c r="Q9" s="10">
        <v>17462</v>
      </c>
      <c r="R9" s="10">
        <v>2403386</v>
      </c>
      <c r="S9" s="10">
        <v>125443</v>
      </c>
      <c r="T9" s="10">
        <v>7182693</v>
      </c>
      <c r="U9" s="10">
        <v>351298</v>
      </c>
      <c r="V9" s="10">
        <v>732593</v>
      </c>
      <c r="W9" s="10">
        <v>40634</v>
      </c>
      <c r="X9" s="10">
        <v>1620757</v>
      </c>
      <c r="Y9" s="10">
        <v>108301</v>
      </c>
      <c r="Z9" s="10">
        <v>133742</v>
      </c>
      <c r="AA9" s="10">
        <v>22222</v>
      </c>
      <c r="AB9" s="10">
        <v>395268</v>
      </c>
      <c r="AC9" s="10">
        <v>68303</v>
      </c>
      <c r="AD9" s="10">
        <v>25466</v>
      </c>
      <c r="AE9" s="10">
        <v>512</v>
      </c>
      <c r="AF9" s="10">
        <v>205647</v>
      </c>
      <c r="AG9" s="10">
        <v>4820</v>
      </c>
      <c r="AH9" s="10">
        <v>6476</v>
      </c>
      <c r="AI9" s="10">
        <v>1799.05</v>
      </c>
      <c r="AJ9" s="10">
        <v>9710</v>
      </c>
      <c r="AK9" s="10">
        <v>4606.78</v>
      </c>
      <c r="AL9" s="10"/>
      <c r="AM9" s="10"/>
      <c r="AN9" s="10"/>
      <c r="AO9" s="10"/>
      <c r="AP9" s="10">
        <v>73361</v>
      </c>
      <c r="AQ9" s="10">
        <v>17780.41</v>
      </c>
      <c r="AR9" s="10">
        <v>143230</v>
      </c>
      <c r="AS9" s="10">
        <v>39857.040000000001</v>
      </c>
      <c r="AT9" s="10">
        <v>229667</v>
      </c>
      <c r="AU9" s="10">
        <v>16239</v>
      </c>
      <c r="AV9" s="10">
        <v>523573</v>
      </c>
      <c r="AW9" s="10">
        <v>35688</v>
      </c>
      <c r="AX9" s="10">
        <v>798066</v>
      </c>
      <c r="AY9" s="10">
        <v>72591.899999999994</v>
      </c>
      <c r="AZ9" s="10">
        <v>1924836</v>
      </c>
      <c r="BA9" s="10">
        <v>214405.3</v>
      </c>
      <c r="BB9" s="10">
        <v>5070896</v>
      </c>
      <c r="BC9" s="10">
        <v>181849</v>
      </c>
      <c r="BD9" s="10">
        <v>13830553</v>
      </c>
      <c r="BE9" s="10">
        <v>498983</v>
      </c>
      <c r="BF9" s="10">
        <v>444233</v>
      </c>
      <c r="BG9" s="10">
        <v>70365.73</v>
      </c>
      <c r="BH9" s="10">
        <v>1444280</v>
      </c>
      <c r="BI9" s="10">
        <v>217439.1</v>
      </c>
      <c r="BJ9" s="10">
        <v>42743</v>
      </c>
      <c r="BK9" s="10">
        <v>3806</v>
      </c>
      <c r="BL9" s="10">
        <v>109644</v>
      </c>
      <c r="BM9" s="10">
        <v>8686</v>
      </c>
      <c r="BN9" s="10">
        <v>445375</v>
      </c>
      <c r="BO9" s="10">
        <v>27993</v>
      </c>
      <c r="BP9" s="10">
        <v>968832</v>
      </c>
      <c r="BQ9" s="10">
        <v>76627</v>
      </c>
      <c r="BR9" s="10">
        <v>121295</v>
      </c>
      <c r="BS9" s="10">
        <v>13284</v>
      </c>
      <c r="BT9" s="10">
        <v>294654</v>
      </c>
      <c r="BU9" s="10">
        <v>34897</v>
      </c>
      <c r="BV9" s="10">
        <v>16856</v>
      </c>
      <c r="BW9" s="10">
        <v>5826</v>
      </c>
      <c r="BX9" s="10">
        <v>49983</v>
      </c>
      <c r="BY9" s="10">
        <v>15530</v>
      </c>
      <c r="BZ9" s="10">
        <v>83673</v>
      </c>
      <c r="CA9" s="10">
        <v>3940</v>
      </c>
      <c r="CB9" s="10">
        <v>101401</v>
      </c>
      <c r="CC9" s="10">
        <v>9764</v>
      </c>
      <c r="CD9" s="10">
        <v>474833</v>
      </c>
      <c r="CE9" s="23">
        <v>62919.33</v>
      </c>
      <c r="CF9" s="10">
        <v>1189868</v>
      </c>
      <c r="CG9" s="23">
        <v>225190.58</v>
      </c>
      <c r="CH9" s="10">
        <v>-54965</v>
      </c>
      <c r="CI9" s="10">
        <v>131841</v>
      </c>
      <c r="CJ9" s="10"/>
      <c r="CK9" s="10"/>
      <c r="CL9" s="10">
        <v>294705</v>
      </c>
      <c r="CM9" s="10">
        <v>58452.81</v>
      </c>
      <c r="CN9" s="10">
        <v>890623</v>
      </c>
      <c r="CO9" s="10">
        <v>197991.13</v>
      </c>
      <c r="CP9" s="10">
        <v>9704</v>
      </c>
      <c r="CQ9" s="10">
        <v>2251.8000000000002</v>
      </c>
      <c r="CR9" s="10">
        <v>27693</v>
      </c>
      <c r="CS9" s="10">
        <v>7473</v>
      </c>
      <c r="CT9" s="10">
        <v>611743</v>
      </c>
      <c r="CU9" s="10">
        <v>45205</v>
      </c>
      <c r="CV9" s="10">
        <v>1534346</v>
      </c>
      <c r="CW9" s="10">
        <v>166665</v>
      </c>
      <c r="CX9" s="10"/>
      <c r="CY9" s="10"/>
      <c r="CZ9" s="10"/>
      <c r="DA9" s="10"/>
      <c r="DB9" s="10">
        <v>55626</v>
      </c>
      <c r="DC9" s="10">
        <v>12531</v>
      </c>
      <c r="DD9" s="10">
        <v>149746</v>
      </c>
      <c r="DE9" s="10">
        <v>39463</v>
      </c>
      <c r="DF9" s="10">
        <v>228045</v>
      </c>
      <c r="DG9" s="10">
        <v>37654</v>
      </c>
      <c r="DH9" s="10">
        <v>618435</v>
      </c>
      <c r="DI9" s="10">
        <v>111091</v>
      </c>
      <c r="DJ9" s="10">
        <v>192182</v>
      </c>
      <c r="DK9" s="10">
        <v>41459</v>
      </c>
      <c r="DL9" s="10">
        <v>413153</v>
      </c>
      <c r="DM9" s="10">
        <v>105297</v>
      </c>
      <c r="DN9" s="10">
        <v>99300</v>
      </c>
      <c r="DO9" s="10">
        <v>6535.01</v>
      </c>
      <c r="DP9" s="10">
        <v>280959</v>
      </c>
      <c r="DQ9" s="10">
        <v>14886.08</v>
      </c>
      <c r="DR9" s="10">
        <v>22403</v>
      </c>
      <c r="DS9" s="10">
        <v>11165</v>
      </c>
      <c r="DT9" s="10">
        <v>71077</v>
      </c>
      <c r="DU9" s="10">
        <v>38502</v>
      </c>
      <c r="DV9" s="10">
        <v>1247995</v>
      </c>
      <c r="DW9" s="10">
        <v>78381</v>
      </c>
      <c r="DX9" s="10">
        <v>3513564</v>
      </c>
      <c r="DY9" s="10">
        <v>245121</v>
      </c>
      <c r="DZ9" s="10">
        <v>244877</v>
      </c>
      <c r="EA9" s="10">
        <v>55862</v>
      </c>
      <c r="EB9" s="10">
        <v>659448</v>
      </c>
      <c r="EC9" s="10">
        <v>202617</v>
      </c>
      <c r="ED9" s="10">
        <v>170383</v>
      </c>
      <c r="EE9" s="10">
        <v>30726</v>
      </c>
      <c r="EF9" s="10">
        <v>391176</v>
      </c>
      <c r="EG9" s="10">
        <v>58020</v>
      </c>
    </row>
    <row r="10" spans="1:137" x14ac:dyDescent="0.25">
      <c r="A10" s="10" t="s">
        <v>132</v>
      </c>
      <c r="B10" s="10"/>
      <c r="C10" s="10"/>
      <c r="D10" s="10"/>
      <c r="E10" s="10"/>
      <c r="F10" s="10"/>
      <c r="G10" s="10"/>
      <c r="H10" s="10"/>
      <c r="I10" s="10"/>
      <c r="J10" s="10"/>
      <c r="K10" s="23"/>
      <c r="L10" s="10">
        <v>55026</v>
      </c>
      <c r="M10" s="23">
        <v>9445.4699999999993</v>
      </c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>
        <v>1</v>
      </c>
      <c r="AQ10" s="10">
        <v>1.3</v>
      </c>
      <c r="AR10" s="10">
        <v>1</v>
      </c>
      <c r="AS10" s="10">
        <v>8.9499999999999993</v>
      </c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>
        <v>0</v>
      </c>
      <c r="BG10" s="10"/>
      <c r="BH10" s="10">
        <v>0</v>
      </c>
      <c r="BI10" s="10">
        <v>0</v>
      </c>
      <c r="BJ10" s="10">
        <v>17000</v>
      </c>
      <c r="BK10" s="10">
        <v>91</v>
      </c>
      <c r="BL10" s="10">
        <v>42051</v>
      </c>
      <c r="BM10" s="10">
        <v>243</v>
      </c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>
        <v>0</v>
      </c>
      <c r="CE10" s="23">
        <v>0</v>
      </c>
      <c r="CF10" s="10">
        <v>0</v>
      </c>
      <c r="CG10" s="23">
        <v>0</v>
      </c>
      <c r="CH10" s="10">
        <v>68</v>
      </c>
      <c r="CI10" s="10">
        <v>4</v>
      </c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>
        <v>311</v>
      </c>
      <c r="DC10" s="10">
        <v>1191</v>
      </c>
      <c r="DD10" s="10">
        <v>335</v>
      </c>
      <c r="DE10" s="10">
        <v>2357</v>
      </c>
      <c r="DF10" s="10">
        <v>8</v>
      </c>
      <c r="DG10" s="10"/>
      <c r="DH10" s="10">
        <v>33</v>
      </c>
      <c r="DI10" s="10">
        <v>1</v>
      </c>
      <c r="DJ10" s="10"/>
      <c r="DK10" s="10"/>
      <c r="DL10" s="10"/>
      <c r="DM10" s="10"/>
      <c r="DN10" s="10">
        <v>0</v>
      </c>
      <c r="DO10" s="10">
        <v>0</v>
      </c>
      <c r="DP10" s="10">
        <v>0</v>
      </c>
      <c r="DQ10" s="10">
        <v>0</v>
      </c>
      <c r="DR10" s="10"/>
      <c r="DS10" s="10"/>
      <c r="DT10" s="10"/>
      <c r="DU10" s="10"/>
      <c r="DV10" s="10"/>
      <c r="DW10" s="10"/>
      <c r="DX10" s="10"/>
      <c r="DY10" s="10"/>
      <c r="DZ10" s="10">
        <v>0</v>
      </c>
      <c r="EA10" s="10">
        <v>0</v>
      </c>
      <c r="EB10" s="10">
        <v>2</v>
      </c>
      <c r="EC10" s="10">
        <v>0</v>
      </c>
      <c r="ED10" s="10"/>
      <c r="EE10" s="10"/>
      <c r="EF10" s="10"/>
      <c r="EG10" s="10"/>
    </row>
    <row r="11" spans="1:137" x14ac:dyDescent="0.25">
      <c r="A11" s="10" t="s">
        <v>133</v>
      </c>
      <c r="B11" s="10">
        <v>148357</v>
      </c>
      <c r="C11" s="10">
        <v>9223.2615600000008</v>
      </c>
      <c r="D11" s="10">
        <v>419682</v>
      </c>
      <c r="E11" s="10">
        <v>22757.030930000001</v>
      </c>
      <c r="F11" s="10">
        <v>13594</v>
      </c>
      <c r="G11" s="10">
        <v>2423</v>
      </c>
      <c r="H11" s="10">
        <v>37078</v>
      </c>
      <c r="I11" s="10">
        <v>5230</v>
      </c>
      <c r="J11" s="10">
        <v>8314</v>
      </c>
      <c r="K11" s="23">
        <v>78.44</v>
      </c>
      <c r="L11" s="10">
        <v>21178</v>
      </c>
      <c r="M11" s="23">
        <v>333.31</v>
      </c>
      <c r="N11" s="10">
        <v>32369</v>
      </c>
      <c r="O11" s="10">
        <v>6347</v>
      </c>
      <c r="P11" s="10">
        <v>125160</v>
      </c>
      <c r="Q11" s="10">
        <v>22366</v>
      </c>
      <c r="R11" s="10">
        <v>528766</v>
      </c>
      <c r="S11" s="10">
        <v>57579</v>
      </c>
      <c r="T11" s="10">
        <v>2052016</v>
      </c>
      <c r="U11" s="10">
        <v>304442</v>
      </c>
      <c r="V11" s="10">
        <v>154975</v>
      </c>
      <c r="W11" s="10">
        <v>25805</v>
      </c>
      <c r="X11" s="10">
        <v>470684</v>
      </c>
      <c r="Y11" s="10">
        <v>85789</v>
      </c>
      <c r="Z11" s="10">
        <v>53301</v>
      </c>
      <c r="AA11" s="10">
        <v>5376</v>
      </c>
      <c r="AB11" s="10">
        <v>139679</v>
      </c>
      <c r="AC11" s="10">
        <v>15060</v>
      </c>
      <c r="AD11" s="10">
        <f>10887+2176</f>
        <v>13063</v>
      </c>
      <c r="AE11" s="10">
        <v>446</v>
      </c>
      <c r="AF11" s="10">
        <f>36575+4428</f>
        <v>41003</v>
      </c>
      <c r="AG11" s="10">
        <f>1436+640</f>
        <v>2076</v>
      </c>
      <c r="AH11" s="10">
        <v>5441</v>
      </c>
      <c r="AI11" s="10">
        <v>660.83</v>
      </c>
      <c r="AJ11" s="10">
        <v>12212</v>
      </c>
      <c r="AK11" s="10">
        <v>2005.33</v>
      </c>
      <c r="AL11" s="10"/>
      <c r="AM11" s="10"/>
      <c r="AN11" s="10"/>
      <c r="AO11" s="10"/>
      <c r="AP11" s="10">
        <v>103973</v>
      </c>
      <c r="AQ11" s="10">
        <v>41006.75</v>
      </c>
      <c r="AR11" s="10">
        <v>181431</v>
      </c>
      <c r="AS11" s="10">
        <v>53422.73</v>
      </c>
      <c r="AT11" s="10">
        <v>659790</v>
      </c>
      <c r="AU11" s="10">
        <v>20127</v>
      </c>
      <c r="AV11" s="10">
        <v>1934510</v>
      </c>
      <c r="AW11" s="10">
        <v>55968</v>
      </c>
      <c r="AX11" s="10">
        <v>549075</v>
      </c>
      <c r="AY11" s="10">
        <v>22403</v>
      </c>
      <c r="AZ11" s="10">
        <v>1660293</v>
      </c>
      <c r="BA11" s="10">
        <v>220864.4</v>
      </c>
      <c r="BB11" s="10">
        <f>259388+241435</f>
        <v>500823</v>
      </c>
      <c r="BC11" s="10">
        <f>7141+55952</f>
        <v>63093</v>
      </c>
      <c r="BD11" s="10">
        <f>992914+877470</f>
        <v>1870384</v>
      </c>
      <c r="BE11" s="10">
        <f>20988+166598</f>
        <v>187586</v>
      </c>
      <c r="BF11" s="10">
        <v>133961</v>
      </c>
      <c r="BG11" s="10">
        <v>83041.77</v>
      </c>
      <c r="BH11" s="10">
        <v>390512</v>
      </c>
      <c r="BI11" s="10">
        <v>280872.81</v>
      </c>
      <c r="BJ11" s="10">
        <v>260030</v>
      </c>
      <c r="BK11" s="10">
        <v>2753</v>
      </c>
      <c r="BL11" s="10">
        <v>581876</v>
      </c>
      <c r="BM11" s="10">
        <v>5710</v>
      </c>
      <c r="BN11" s="10">
        <v>205139</v>
      </c>
      <c r="BO11" s="10">
        <v>1502</v>
      </c>
      <c r="BP11" s="10">
        <v>569215</v>
      </c>
      <c r="BQ11" s="10">
        <v>4350</v>
      </c>
      <c r="BR11" s="10">
        <v>35452</v>
      </c>
      <c r="BS11" s="10">
        <v>1778</v>
      </c>
      <c r="BT11" s="10">
        <v>76347</v>
      </c>
      <c r="BU11" s="10">
        <v>4583</v>
      </c>
      <c r="BV11" s="10">
        <v>8217</v>
      </c>
      <c r="BW11" s="10">
        <v>3183</v>
      </c>
      <c r="BX11" s="10">
        <v>26129</v>
      </c>
      <c r="BY11" s="10">
        <v>6229</v>
      </c>
      <c r="BZ11" s="10">
        <v>128472</v>
      </c>
      <c r="CA11" s="10">
        <v>5631</v>
      </c>
      <c r="CB11" s="10">
        <v>167755</v>
      </c>
      <c r="CC11" s="10">
        <v>16922</v>
      </c>
      <c r="CD11" s="10">
        <v>96258</v>
      </c>
      <c r="CE11" s="23">
        <v>57514.63</v>
      </c>
      <c r="CF11" s="10">
        <v>324977</v>
      </c>
      <c r="CG11" s="23">
        <v>256903.39</v>
      </c>
      <c r="CH11" s="10">
        <v>8158076</v>
      </c>
      <c r="CI11" s="10">
        <v>140683</v>
      </c>
      <c r="CJ11" s="10"/>
      <c r="CK11" s="10"/>
      <c r="CL11" s="10">
        <v>79958</v>
      </c>
      <c r="CM11" s="10">
        <v>118137.78</v>
      </c>
      <c r="CN11" s="10">
        <v>545758</v>
      </c>
      <c r="CO11" s="10">
        <v>369088.73</v>
      </c>
      <c r="CP11" s="10">
        <v>6030</v>
      </c>
      <c r="CQ11" s="10">
        <v>1155.73</v>
      </c>
      <c r="CR11" s="10">
        <v>8271</v>
      </c>
      <c r="CS11" s="10">
        <v>1865.97</v>
      </c>
      <c r="CT11" s="10">
        <v>156615</v>
      </c>
      <c r="CU11" s="10">
        <v>56182</v>
      </c>
      <c r="CV11" s="10">
        <v>533894</v>
      </c>
      <c r="CW11" s="10">
        <v>259892</v>
      </c>
      <c r="CX11" s="10"/>
      <c r="CY11" s="10"/>
      <c r="CZ11" s="10"/>
      <c r="DA11" s="10"/>
      <c r="DB11" s="10">
        <v>45797</v>
      </c>
      <c r="DC11" s="10">
        <v>20655</v>
      </c>
      <c r="DD11" s="10">
        <v>133746</v>
      </c>
      <c r="DE11" s="10">
        <v>58654</v>
      </c>
      <c r="DF11" s="10">
        <v>142226</v>
      </c>
      <c r="DG11" s="10">
        <v>33245</v>
      </c>
      <c r="DH11" s="10">
        <v>392688</v>
      </c>
      <c r="DI11" s="10">
        <v>87497</v>
      </c>
      <c r="DJ11" s="10">
        <v>904630</v>
      </c>
      <c r="DK11" s="10">
        <v>70039</v>
      </c>
      <c r="DL11" s="10">
        <v>2132499</v>
      </c>
      <c r="DM11" s="10">
        <v>208750</v>
      </c>
      <c r="DN11" s="10">
        <v>117454</v>
      </c>
      <c r="DO11" s="10">
        <v>3010.1</v>
      </c>
      <c r="DP11" s="10">
        <v>383587</v>
      </c>
      <c r="DQ11" s="10">
        <v>9658.2199999999993</v>
      </c>
      <c r="DR11" s="10">
        <v>128539</v>
      </c>
      <c r="DS11" s="10">
        <v>16281</v>
      </c>
      <c r="DT11" s="10">
        <v>359299</v>
      </c>
      <c r="DU11" s="10">
        <v>46670</v>
      </c>
      <c r="DV11" s="10">
        <v>266917</v>
      </c>
      <c r="DW11" s="10">
        <v>18328</v>
      </c>
      <c r="DX11" s="10">
        <v>814077</v>
      </c>
      <c r="DY11" s="10">
        <v>102955</v>
      </c>
      <c r="DZ11" s="10">
        <v>197888</v>
      </c>
      <c r="EA11" s="10">
        <v>177298</v>
      </c>
      <c r="EB11" s="10">
        <v>625701</v>
      </c>
      <c r="EC11" s="10">
        <v>362162</v>
      </c>
      <c r="ED11" s="10">
        <v>39795</v>
      </c>
      <c r="EE11" s="10">
        <v>70303</v>
      </c>
      <c r="EF11" s="10">
        <v>107084</v>
      </c>
      <c r="EG11" s="10">
        <v>139066</v>
      </c>
    </row>
    <row r="12" spans="1:137" x14ac:dyDescent="0.25">
      <c r="A12" s="10" t="s">
        <v>45</v>
      </c>
      <c r="B12" s="10">
        <f>B13-B11-B10-B9-B8-B7-B6</f>
        <v>2152</v>
      </c>
      <c r="C12" s="10">
        <f t="shared" ref="C12:BN12" si="0">C13-C11-C10-C9-C8-C7-C6</f>
        <v>271.9173499999992</v>
      </c>
      <c r="D12" s="10">
        <f t="shared" si="0"/>
        <v>6033</v>
      </c>
      <c r="E12" s="10">
        <f t="shared" si="0"/>
        <v>757.80836999999917</v>
      </c>
      <c r="F12" s="10">
        <f t="shared" si="0"/>
        <v>0</v>
      </c>
      <c r="G12" s="10">
        <f t="shared" si="0"/>
        <v>0</v>
      </c>
      <c r="H12" s="10">
        <f t="shared" si="0"/>
        <v>0</v>
      </c>
      <c r="I12" s="10">
        <f t="shared" si="0"/>
        <v>0</v>
      </c>
      <c r="J12" s="10">
        <f t="shared" si="0"/>
        <v>7571344</v>
      </c>
      <c r="K12" s="23">
        <f t="shared" si="0"/>
        <v>118469.07999999999</v>
      </c>
      <c r="L12" s="10">
        <f t="shared" si="0"/>
        <v>22422612</v>
      </c>
      <c r="M12" s="23">
        <f t="shared" si="0"/>
        <v>740366.75</v>
      </c>
      <c r="N12" s="10">
        <f t="shared" si="0"/>
        <v>11152</v>
      </c>
      <c r="O12" s="10">
        <f t="shared" si="0"/>
        <v>1642</v>
      </c>
      <c r="P12" s="10">
        <f t="shared" si="0"/>
        <v>45523</v>
      </c>
      <c r="Q12" s="10">
        <f t="shared" si="0"/>
        <v>4868</v>
      </c>
      <c r="R12" s="10">
        <f t="shared" si="0"/>
        <v>318739</v>
      </c>
      <c r="S12" s="10">
        <f t="shared" si="0"/>
        <v>8562</v>
      </c>
      <c r="T12" s="10">
        <f t="shared" si="0"/>
        <v>1026662</v>
      </c>
      <c r="U12" s="10">
        <f t="shared" si="0"/>
        <v>22997</v>
      </c>
      <c r="V12" s="10">
        <f t="shared" si="0"/>
        <v>0</v>
      </c>
      <c r="W12" s="10">
        <f t="shared" si="0"/>
        <v>0</v>
      </c>
      <c r="X12" s="10">
        <f t="shared" si="0"/>
        <v>0</v>
      </c>
      <c r="Y12" s="10">
        <f t="shared" si="0"/>
        <v>1</v>
      </c>
      <c r="Z12" s="10">
        <f t="shared" si="0"/>
        <v>0</v>
      </c>
      <c r="AA12" s="10">
        <f t="shared" si="0"/>
        <v>1</v>
      </c>
      <c r="AB12" s="10">
        <f t="shared" si="0"/>
        <v>0</v>
      </c>
      <c r="AC12" s="10">
        <f t="shared" si="0"/>
        <v>-1</v>
      </c>
      <c r="AD12" s="10">
        <f t="shared" si="0"/>
        <v>594</v>
      </c>
      <c r="AE12" s="10">
        <f t="shared" si="0"/>
        <v>41</v>
      </c>
      <c r="AF12" s="10">
        <f t="shared" si="0"/>
        <v>28616</v>
      </c>
      <c r="AG12" s="10">
        <f t="shared" si="0"/>
        <v>1651</v>
      </c>
      <c r="AH12" s="10">
        <f t="shared" si="0"/>
        <v>14067</v>
      </c>
      <c r="AI12" s="10">
        <f t="shared" si="0"/>
        <v>1298.1500000000003</v>
      </c>
      <c r="AJ12" s="10">
        <f t="shared" si="0"/>
        <v>22497</v>
      </c>
      <c r="AK12" s="10">
        <f t="shared" si="0"/>
        <v>2008.9200000000008</v>
      </c>
      <c r="AL12" s="10">
        <f t="shared" si="0"/>
        <v>0</v>
      </c>
      <c r="AM12" s="10">
        <f t="shared" si="0"/>
        <v>0</v>
      </c>
      <c r="AN12" s="10">
        <f t="shared" si="0"/>
        <v>0</v>
      </c>
      <c r="AO12" s="10">
        <f t="shared" si="0"/>
        <v>0</v>
      </c>
      <c r="AP12" s="10">
        <f t="shared" si="0"/>
        <v>21244</v>
      </c>
      <c r="AQ12" s="10">
        <f t="shared" si="0"/>
        <v>1410.0099999999948</v>
      </c>
      <c r="AR12" s="10">
        <f t="shared" si="0"/>
        <v>38885</v>
      </c>
      <c r="AS12" s="10">
        <f t="shared" si="0"/>
        <v>3178.6999999999898</v>
      </c>
      <c r="AT12" s="10">
        <f>AT13-AT11-AT10-AT9-AT8-AT7-AT6</f>
        <v>91266</v>
      </c>
      <c r="AU12" s="10">
        <f>AU13-AU11-AU10-AU9-AU8-AU7-AU6</f>
        <v>1472</v>
      </c>
      <c r="AV12" s="10">
        <f t="shared" si="0"/>
        <v>271013</v>
      </c>
      <c r="AW12" s="10">
        <f t="shared" si="0"/>
        <v>4592</v>
      </c>
      <c r="AX12" s="10">
        <f t="shared" si="0"/>
        <v>493319</v>
      </c>
      <c r="AY12" s="10">
        <f t="shared" si="0"/>
        <v>15999.700000000008</v>
      </c>
      <c r="AZ12" s="10">
        <f t="shared" si="0"/>
        <v>1518465</v>
      </c>
      <c r="BA12" s="10">
        <f t="shared" si="0"/>
        <v>41572.199999999939</v>
      </c>
      <c r="BB12" s="10">
        <f t="shared" si="0"/>
        <v>1468565</v>
      </c>
      <c r="BC12" s="10">
        <f t="shared" si="0"/>
        <v>30782</v>
      </c>
      <c r="BD12" s="10">
        <f t="shared" si="0"/>
        <v>2974604</v>
      </c>
      <c r="BE12" s="10">
        <f t="shared" si="0"/>
        <v>81350</v>
      </c>
      <c r="BF12" s="10">
        <f t="shared" si="0"/>
        <v>0</v>
      </c>
      <c r="BG12" s="10">
        <f t="shared" si="0"/>
        <v>-1.0000000002037268E-2</v>
      </c>
      <c r="BH12" s="10">
        <f t="shared" si="0"/>
        <v>0</v>
      </c>
      <c r="BI12" s="10">
        <f t="shared" si="0"/>
        <v>1.0000000038417056E-2</v>
      </c>
      <c r="BJ12" s="10">
        <f t="shared" si="0"/>
        <v>32255</v>
      </c>
      <c r="BK12" s="10">
        <f t="shared" si="0"/>
        <v>1111</v>
      </c>
      <c r="BL12" s="10">
        <f t="shared" si="0"/>
        <v>97174</v>
      </c>
      <c r="BM12" s="10">
        <f t="shared" si="0"/>
        <v>2823</v>
      </c>
      <c r="BN12" s="10">
        <f t="shared" si="0"/>
        <v>197618</v>
      </c>
      <c r="BO12" s="10">
        <f t="shared" ref="BO12:DZ12" si="1">BO13-BO11-BO10-BO9-BO8-BO7-BO6</f>
        <v>6954</v>
      </c>
      <c r="BP12" s="10">
        <f t="shared" si="1"/>
        <v>474782</v>
      </c>
      <c r="BQ12" s="10">
        <f t="shared" si="1"/>
        <v>18059</v>
      </c>
      <c r="BR12" s="10">
        <f t="shared" si="1"/>
        <v>243105</v>
      </c>
      <c r="BS12" s="10">
        <f t="shared" si="1"/>
        <v>10074</v>
      </c>
      <c r="BT12" s="10">
        <f t="shared" si="1"/>
        <v>642597</v>
      </c>
      <c r="BU12" s="10">
        <f t="shared" si="1"/>
        <v>26653</v>
      </c>
      <c r="BV12" s="10">
        <f t="shared" si="1"/>
        <v>0</v>
      </c>
      <c r="BW12" s="10">
        <f t="shared" si="1"/>
        <v>-1</v>
      </c>
      <c r="BX12" s="10">
        <f t="shared" si="1"/>
        <v>0</v>
      </c>
      <c r="BY12" s="10">
        <f t="shared" si="1"/>
        <v>0</v>
      </c>
      <c r="BZ12" s="10">
        <f t="shared" si="1"/>
        <v>0</v>
      </c>
      <c r="CA12" s="10">
        <f t="shared" si="1"/>
        <v>-1</v>
      </c>
      <c r="CB12" s="10">
        <f t="shared" si="1"/>
        <v>0</v>
      </c>
      <c r="CC12" s="10">
        <f t="shared" si="1"/>
        <v>0</v>
      </c>
      <c r="CD12" s="10">
        <f t="shared" si="1"/>
        <v>55109</v>
      </c>
      <c r="CE12" s="23">
        <f t="shared" si="1"/>
        <v>75257.339999999967</v>
      </c>
      <c r="CF12" s="10">
        <f t="shared" si="1"/>
        <v>170576</v>
      </c>
      <c r="CG12" s="23">
        <f t="shared" si="1"/>
        <v>144953.43000000005</v>
      </c>
      <c r="CH12" s="10">
        <f t="shared" si="1"/>
        <v>0</v>
      </c>
      <c r="CI12" s="10">
        <f t="shared" si="1"/>
        <v>0</v>
      </c>
      <c r="CJ12" s="10">
        <f t="shared" si="1"/>
        <v>0</v>
      </c>
      <c r="CK12" s="10">
        <f t="shared" si="1"/>
        <v>0</v>
      </c>
      <c r="CL12" s="10">
        <f t="shared" si="1"/>
        <v>258583</v>
      </c>
      <c r="CM12" s="10">
        <f t="shared" si="1"/>
        <v>9825.6900000000169</v>
      </c>
      <c r="CN12" s="10">
        <f t="shared" si="1"/>
        <v>606575</v>
      </c>
      <c r="CO12" s="10">
        <f t="shared" si="1"/>
        <v>28550.120000000054</v>
      </c>
      <c r="CP12" s="10">
        <f t="shared" si="1"/>
        <v>0</v>
      </c>
      <c r="CQ12" s="10">
        <f t="shared" si="1"/>
        <v>-0.25000000000019895</v>
      </c>
      <c r="CR12" s="10">
        <f t="shared" si="1"/>
        <v>0</v>
      </c>
      <c r="CS12" s="10">
        <f t="shared" si="1"/>
        <v>2.9999999999745341E-2</v>
      </c>
      <c r="CT12" s="10">
        <f t="shared" si="1"/>
        <v>253963</v>
      </c>
      <c r="CU12" s="10">
        <f t="shared" si="1"/>
        <v>12379</v>
      </c>
      <c r="CV12" s="10">
        <f t="shared" si="1"/>
        <v>667556</v>
      </c>
      <c r="CW12" s="10">
        <f t="shared" si="1"/>
        <v>34371</v>
      </c>
      <c r="CX12" s="10">
        <f t="shared" si="1"/>
        <v>0</v>
      </c>
      <c r="CY12" s="10">
        <f t="shared" si="1"/>
        <v>0</v>
      </c>
      <c r="CZ12" s="10">
        <f t="shared" si="1"/>
        <v>0</v>
      </c>
      <c r="DA12" s="10">
        <f t="shared" si="1"/>
        <v>0</v>
      </c>
      <c r="DB12" s="10">
        <f t="shared" si="1"/>
        <v>0</v>
      </c>
      <c r="DC12" s="10">
        <f t="shared" si="1"/>
        <v>0</v>
      </c>
      <c r="DD12" s="10">
        <f t="shared" si="1"/>
        <v>0</v>
      </c>
      <c r="DE12" s="10">
        <f t="shared" si="1"/>
        <v>0</v>
      </c>
      <c r="DF12" s="10">
        <f t="shared" si="1"/>
        <v>0</v>
      </c>
      <c r="DG12" s="10">
        <f t="shared" si="1"/>
        <v>0</v>
      </c>
      <c r="DH12" s="10">
        <f t="shared" si="1"/>
        <v>0</v>
      </c>
      <c r="DI12" s="10">
        <f t="shared" si="1"/>
        <v>0</v>
      </c>
      <c r="DJ12" s="10">
        <f t="shared" si="1"/>
        <v>0</v>
      </c>
      <c r="DK12" s="10">
        <f t="shared" si="1"/>
        <v>0.83999999999650754</v>
      </c>
      <c r="DL12" s="10">
        <f t="shared" si="1"/>
        <v>0</v>
      </c>
      <c r="DM12" s="10">
        <f t="shared" si="1"/>
        <v>1.1699999999837019</v>
      </c>
      <c r="DN12" s="10">
        <f t="shared" si="1"/>
        <v>39167</v>
      </c>
      <c r="DO12" s="10">
        <f t="shared" si="1"/>
        <v>347.60000000000218</v>
      </c>
      <c r="DP12" s="10">
        <f t="shared" si="1"/>
        <v>49230</v>
      </c>
      <c r="DQ12" s="10">
        <f t="shared" si="1"/>
        <v>439.83000000000175</v>
      </c>
      <c r="DR12" s="10">
        <f t="shared" si="1"/>
        <v>21195</v>
      </c>
      <c r="DS12" s="10">
        <f t="shared" si="1"/>
        <v>2753</v>
      </c>
      <c r="DT12" s="10">
        <f t="shared" si="1"/>
        <v>57174</v>
      </c>
      <c r="DU12" s="10">
        <f t="shared" si="1"/>
        <v>7405</v>
      </c>
      <c r="DV12" s="10">
        <f t="shared" si="1"/>
        <v>151315</v>
      </c>
      <c r="DW12" s="10">
        <f t="shared" si="1"/>
        <v>10392</v>
      </c>
      <c r="DX12" s="10">
        <f t="shared" si="1"/>
        <v>411876</v>
      </c>
      <c r="DY12" s="10">
        <f t="shared" si="1"/>
        <v>29321</v>
      </c>
      <c r="DZ12" s="10">
        <f t="shared" si="1"/>
        <v>34399</v>
      </c>
      <c r="EA12" s="10">
        <f t="shared" ref="EA12:EG12" si="2">EA13-EA11-EA10-EA9-EA8-EA7-EA6</f>
        <v>7829</v>
      </c>
      <c r="EB12" s="10">
        <f t="shared" si="2"/>
        <v>110819</v>
      </c>
      <c r="EC12" s="10">
        <f t="shared" si="2"/>
        <v>38363</v>
      </c>
      <c r="ED12" s="10">
        <f t="shared" si="2"/>
        <v>0</v>
      </c>
      <c r="EE12" s="10">
        <f t="shared" si="2"/>
        <v>0</v>
      </c>
      <c r="EF12" s="10">
        <f t="shared" si="2"/>
        <v>0</v>
      </c>
      <c r="EG12" s="10">
        <f t="shared" si="2"/>
        <v>0</v>
      </c>
    </row>
    <row r="13" spans="1:137" s="8" customFormat="1" x14ac:dyDescent="0.25">
      <c r="A13" s="11" t="s">
        <v>134</v>
      </c>
      <c r="B13" s="11">
        <v>268429</v>
      </c>
      <c r="C13" s="11">
        <v>11365</v>
      </c>
      <c r="D13" s="11">
        <v>722243</v>
      </c>
      <c r="E13" s="11">
        <v>27908</v>
      </c>
      <c r="F13" s="11">
        <v>118153</v>
      </c>
      <c r="G13" s="11">
        <v>23087</v>
      </c>
      <c r="H13" s="11">
        <v>279598</v>
      </c>
      <c r="I13" s="11">
        <v>54573</v>
      </c>
      <c r="J13" s="11">
        <v>9109102</v>
      </c>
      <c r="K13" s="41">
        <v>135838.56</v>
      </c>
      <c r="L13" s="11">
        <v>24997096</v>
      </c>
      <c r="M13" s="41">
        <v>773700.1</v>
      </c>
      <c r="N13" s="11">
        <v>306675</v>
      </c>
      <c r="O13" s="11">
        <v>55873</v>
      </c>
      <c r="P13" s="11">
        <v>997977</v>
      </c>
      <c r="Q13" s="11">
        <v>162123</v>
      </c>
      <c r="R13" s="11">
        <v>7082296</v>
      </c>
      <c r="S13" s="11">
        <v>304767</v>
      </c>
      <c r="T13" s="11">
        <v>20627439</v>
      </c>
      <c r="U13" s="11">
        <v>1013373</v>
      </c>
      <c r="V13" s="11">
        <v>1644410</v>
      </c>
      <c r="W13" s="11">
        <v>83327</v>
      </c>
      <c r="X13" s="11">
        <v>3894225</v>
      </c>
      <c r="Y13" s="11">
        <v>240395</v>
      </c>
      <c r="Z13" s="11">
        <v>1206148</v>
      </c>
      <c r="AA13" s="11">
        <v>108331</v>
      </c>
      <c r="AB13" s="11">
        <v>3315423</v>
      </c>
      <c r="AC13" s="11">
        <v>327255</v>
      </c>
      <c r="AD13" s="11">
        <v>77416</v>
      </c>
      <c r="AE13" s="11">
        <v>2644</v>
      </c>
      <c r="AF13" s="11">
        <v>404565</v>
      </c>
      <c r="AG13" s="11">
        <v>13295</v>
      </c>
      <c r="AH13" s="11">
        <v>27732</v>
      </c>
      <c r="AI13" s="11">
        <v>3991.28</v>
      </c>
      <c r="AJ13" s="11">
        <v>48403</v>
      </c>
      <c r="AK13" s="11">
        <v>9143.5300000000007</v>
      </c>
      <c r="AL13" s="11"/>
      <c r="AM13" s="11"/>
      <c r="AN13" s="11"/>
      <c r="AO13" s="11"/>
      <c r="AP13" s="11">
        <v>568754</v>
      </c>
      <c r="AQ13" s="11">
        <v>84021.73</v>
      </c>
      <c r="AR13" s="11">
        <v>1044814</v>
      </c>
      <c r="AS13" s="11">
        <v>142426.56</v>
      </c>
      <c r="AT13" s="11">
        <v>1466130</v>
      </c>
      <c r="AU13" s="11">
        <v>58292</v>
      </c>
      <c r="AV13" s="11">
        <v>3999064</v>
      </c>
      <c r="AW13" s="11">
        <v>146419</v>
      </c>
      <c r="AX13" s="11">
        <v>2809074</v>
      </c>
      <c r="AY13" s="11">
        <v>189417.1</v>
      </c>
      <c r="AZ13" s="11">
        <v>7895331</v>
      </c>
      <c r="BA13" s="11">
        <v>694472.7</v>
      </c>
      <c r="BB13" s="11">
        <v>7851886</v>
      </c>
      <c r="BC13" s="11">
        <v>369277</v>
      </c>
      <c r="BD13" s="11">
        <v>20596644</v>
      </c>
      <c r="BE13" s="11">
        <v>1013228</v>
      </c>
      <c r="BF13" s="11">
        <v>1775140</v>
      </c>
      <c r="BG13" s="11">
        <v>202189.12</v>
      </c>
      <c r="BH13" s="11">
        <v>5299808</v>
      </c>
      <c r="BI13" s="11">
        <v>620208.41</v>
      </c>
      <c r="BJ13" s="11">
        <v>486840</v>
      </c>
      <c r="BK13" s="11">
        <v>12416</v>
      </c>
      <c r="BL13" s="11">
        <v>1199686</v>
      </c>
      <c r="BM13" s="11">
        <v>30688</v>
      </c>
      <c r="BN13" s="11">
        <v>918913</v>
      </c>
      <c r="BO13" s="11">
        <v>41420</v>
      </c>
      <c r="BP13" s="11">
        <v>2208604</v>
      </c>
      <c r="BQ13" s="11">
        <v>112523</v>
      </c>
      <c r="BR13" s="11">
        <v>469899</v>
      </c>
      <c r="BS13" s="11">
        <v>33062</v>
      </c>
      <c r="BT13" s="11">
        <v>1216305</v>
      </c>
      <c r="BU13" s="11">
        <v>88534</v>
      </c>
      <c r="BV13" s="11">
        <v>60101</v>
      </c>
      <c r="BW13" s="11">
        <v>16248</v>
      </c>
      <c r="BX13" s="11">
        <v>173240</v>
      </c>
      <c r="BY13" s="11">
        <v>41538</v>
      </c>
      <c r="BZ13" s="11">
        <v>570587</v>
      </c>
      <c r="CA13" s="11">
        <v>30186</v>
      </c>
      <c r="CB13" s="11">
        <v>719789</v>
      </c>
      <c r="CC13" s="11">
        <v>83353</v>
      </c>
      <c r="CD13" s="11">
        <v>3804554</v>
      </c>
      <c r="CE13" s="41">
        <v>354929</v>
      </c>
      <c r="CF13" s="11">
        <v>10966933</v>
      </c>
      <c r="CG13" s="41">
        <v>1112849</v>
      </c>
      <c r="CH13" s="11">
        <v>8257437</v>
      </c>
      <c r="CI13" s="11">
        <v>588918</v>
      </c>
      <c r="CJ13" s="11"/>
      <c r="CK13" s="11"/>
      <c r="CL13" s="11">
        <v>2471945</v>
      </c>
      <c r="CM13" s="11">
        <v>321345.45</v>
      </c>
      <c r="CN13" s="11">
        <v>7440119</v>
      </c>
      <c r="CO13" s="11">
        <v>1006968</v>
      </c>
      <c r="CP13" s="11">
        <v>16232</v>
      </c>
      <c r="CQ13" s="11">
        <v>3494</v>
      </c>
      <c r="CR13" s="11">
        <v>36894</v>
      </c>
      <c r="CS13" s="11">
        <v>9527</v>
      </c>
      <c r="CT13" s="11">
        <v>1599421</v>
      </c>
      <c r="CU13" s="11">
        <v>157103</v>
      </c>
      <c r="CV13" s="11">
        <v>4613026</v>
      </c>
      <c r="CW13" s="11">
        <v>601604</v>
      </c>
      <c r="CX13" s="11"/>
      <c r="CY13" s="11"/>
      <c r="CZ13" s="11"/>
      <c r="DA13" s="11"/>
      <c r="DB13" s="11">
        <v>251546</v>
      </c>
      <c r="DC13" s="11">
        <v>61508</v>
      </c>
      <c r="DD13" s="11">
        <v>704926</v>
      </c>
      <c r="DE13" s="11">
        <v>175149</v>
      </c>
      <c r="DF13" s="11">
        <v>540456</v>
      </c>
      <c r="DG13" s="11">
        <v>98192</v>
      </c>
      <c r="DH13" s="11">
        <v>1468324</v>
      </c>
      <c r="DI13" s="11">
        <v>277562</v>
      </c>
      <c r="DJ13" s="11">
        <v>2126468</v>
      </c>
      <c r="DK13" s="11">
        <v>173532.84</v>
      </c>
      <c r="DL13" s="11">
        <v>5296843</v>
      </c>
      <c r="DM13" s="11">
        <v>484890.17</v>
      </c>
      <c r="DN13" s="11">
        <v>1000538</v>
      </c>
      <c r="DO13" s="11">
        <v>61969.05</v>
      </c>
      <c r="DP13" s="11">
        <v>2571051</v>
      </c>
      <c r="DQ13" s="11">
        <v>179640.24</v>
      </c>
      <c r="DR13" s="11">
        <v>1297213</v>
      </c>
      <c r="DS13" s="11">
        <v>162787</v>
      </c>
      <c r="DT13" s="11">
        <v>3395929</v>
      </c>
      <c r="DU13" s="11">
        <v>436346</v>
      </c>
      <c r="DV13" s="11">
        <v>2801035</v>
      </c>
      <c r="DW13" s="11">
        <v>172677</v>
      </c>
      <c r="DX13" s="11">
        <v>8145801</v>
      </c>
      <c r="DY13" s="11">
        <v>568825</v>
      </c>
      <c r="DZ13" s="11">
        <v>4025313</v>
      </c>
      <c r="EA13" s="11">
        <v>456721</v>
      </c>
      <c r="EB13" s="11">
        <v>12557237</v>
      </c>
      <c r="EC13" s="11">
        <v>1253382</v>
      </c>
      <c r="ED13" s="11">
        <v>361169</v>
      </c>
      <c r="EE13" s="11">
        <v>111767</v>
      </c>
      <c r="EF13" s="11">
        <v>1009011</v>
      </c>
      <c r="EG13" s="11">
        <v>230934</v>
      </c>
    </row>
    <row r="14" spans="1:137" x14ac:dyDescent="0.25">
      <c r="A14" s="10" t="s">
        <v>135</v>
      </c>
      <c r="B14" s="10"/>
      <c r="C14" s="10"/>
      <c r="D14" s="10"/>
      <c r="E14" s="10"/>
      <c r="F14" s="10"/>
      <c r="G14" s="10"/>
      <c r="H14" s="10"/>
      <c r="I14" s="10"/>
      <c r="J14" s="10"/>
      <c r="K14" s="23"/>
      <c r="L14" s="10"/>
      <c r="M14" s="23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>
        <v>0.05</v>
      </c>
      <c r="AR14" s="10"/>
      <c r="AS14" s="10">
        <v>0.05</v>
      </c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>
        <v>-0.1</v>
      </c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23"/>
      <c r="CF14" s="10"/>
      <c r="CG14" s="23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>
        <v>444</v>
      </c>
      <c r="DM14" s="10">
        <v>53</v>
      </c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</row>
    <row r="15" spans="1:137" s="8" customFormat="1" x14ac:dyDescent="0.25">
      <c r="A15" s="11" t="s">
        <v>136</v>
      </c>
      <c r="B15" s="11">
        <f>B13+B14</f>
        <v>268429</v>
      </c>
      <c r="C15" s="11">
        <f t="shared" ref="C15:BN15" si="3">C13+C14</f>
        <v>11365</v>
      </c>
      <c r="D15" s="11">
        <f t="shared" si="3"/>
        <v>722243</v>
      </c>
      <c r="E15" s="11">
        <f t="shared" si="3"/>
        <v>27908</v>
      </c>
      <c r="F15" s="11">
        <f t="shared" si="3"/>
        <v>118153</v>
      </c>
      <c r="G15" s="11">
        <f t="shared" si="3"/>
        <v>23087</v>
      </c>
      <c r="H15" s="11">
        <f t="shared" si="3"/>
        <v>279598</v>
      </c>
      <c r="I15" s="11">
        <f t="shared" si="3"/>
        <v>54573</v>
      </c>
      <c r="J15" s="11">
        <f t="shared" si="3"/>
        <v>9109102</v>
      </c>
      <c r="K15" s="41">
        <f t="shared" si="3"/>
        <v>135838.56</v>
      </c>
      <c r="L15" s="11">
        <f t="shared" si="3"/>
        <v>24997096</v>
      </c>
      <c r="M15" s="41">
        <f t="shared" si="3"/>
        <v>773700.1</v>
      </c>
      <c r="N15" s="11">
        <f t="shared" si="3"/>
        <v>306675</v>
      </c>
      <c r="O15" s="11">
        <f t="shared" si="3"/>
        <v>55873</v>
      </c>
      <c r="P15" s="11">
        <f t="shared" si="3"/>
        <v>997977</v>
      </c>
      <c r="Q15" s="11">
        <f t="shared" si="3"/>
        <v>162123</v>
      </c>
      <c r="R15" s="11">
        <f t="shared" si="3"/>
        <v>7082296</v>
      </c>
      <c r="S15" s="11">
        <f t="shared" si="3"/>
        <v>304767</v>
      </c>
      <c r="T15" s="11">
        <f t="shared" si="3"/>
        <v>20627439</v>
      </c>
      <c r="U15" s="11">
        <f t="shared" si="3"/>
        <v>1013373</v>
      </c>
      <c r="V15" s="11">
        <f t="shared" si="3"/>
        <v>1644410</v>
      </c>
      <c r="W15" s="11">
        <f t="shared" si="3"/>
        <v>83327</v>
      </c>
      <c r="X15" s="11">
        <f t="shared" si="3"/>
        <v>3894225</v>
      </c>
      <c r="Y15" s="11">
        <f t="shared" si="3"/>
        <v>240395</v>
      </c>
      <c r="Z15" s="11">
        <f t="shared" si="3"/>
        <v>1206148</v>
      </c>
      <c r="AA15" s="11">
        <f t="shared" si="3"/>
        <v>108331</v>
      </c>
      <c r="AB15" s="11">
        <f t="shared" si="3"/>
        <v>3315423</v>
      </c>
      <c r="AC15" s="11">
        <f t="shared" si="3"/>
        <v>327255</v>
      </c>
      <c r="AD15" s="11">
        <f t="shared" si="3"/>
        <v>77416</v>
      </c>
      <c r="AE15" s="11">
        <f t="shared" si="3"/>
        <v>2644</v>
      </c>
      <c r="AF15" s="11">
        <f t="shared" si="3"/>
        <v>404565</v>
      </c>
      <c r="AG15" s="11">
        <f t="shared" si="3"/>
        <v>13295</v>
      </c>
      <c r="AH15" s="11">
        <f t="shared" si="3"/>
        <v>27732</v>
      </c>
      <c r="AI15" s="11">
        <f t="shared" si="3"/>
        <v>3991.28</v>
      </c>
      <c r="AJ15" s="11">
        <f t="shared" si="3"/>
        <v>48403</v>
      </c>
      <c r="AK15" s="11">
        <f t="shared" si="3"/>
        <v>9143.5300000000007</v>
      </c>
      <c r="AL15" s="11">
        <f t="shared" si="3"/>
        <v>0</v>
      </c>
      <c r="AM15" s="11">
        <f t="shared" si="3"/>
        <v>0</v>
      </c>
      <c r="AN15" s="11">
        <f t="shared" si="3"/>
        <v>0</v>
      </c>
      <c r="AO15" s="11">
        <f t="shared" si="3"/>
        <v>0</v>
      </c>
      <c r="AP15" s="11">
        <f t="shared" si="3"/>
        <v>568754</v>
      </c>
      <c r="AQ15" s="11">
        <f t="shared" si="3"/>
        <v>84021.78</v>
      </c>
      <c r="AR15" s="11">
        <f t="shared" si="3"/>
        <v>1044814</v>
      </c>
      <c r="AS15" s="11">
        <f t="shared" si="3"/>
        <v>142426.60999999999</v>
      </c>
      <c r="AT15" s="11">
        <f t="shared" si="3"/>
        <v>1466130</v>
      </c>
      <c r="AU15" s="11">
        <f t="shared" si="3"/>
        <v>58292</v>
      </c>
      <c r="AV15" s="11">
        <f t="shared" si="3"/>
        <v>3999064</v>
      </c>
      <c r="AW15" s="11">
        <f t="shared" si="3"/>
        <v>146419</v>
      </c>
      <c r="AX15" s="11">
        <f t="shared" si="3"/>
        <v>2809074</v>
      </c>
      <c r="AY15" s="11">
        <f t="shared" si="3"/>
        <v>189417.1</v>
      </c>
      <c r="AZ15" s="11">
        <f t="shared" si="3"/>
        <v>7895331</v>
      </c>
      <c r="BA15" s="11">
        <f t="shared" si="3"/>
        <v>694472.7</v>
      </c>
      <c r="BB15" s="11">
        <f t="shared" si="3"/>
        <v>7851886</v>
      </c>
      <c r="BC15" s="11">
        <f t="shared" si="3"/>
        <v>369277</v>
      </c>
      <c r="BD15" s="11">
        <f t="shared" si="3"/>
        <v>20596644</v>
      </c>
      <c r="BE15" s="11">
        <f t="shared" si="3"/>
        <v>1013228</v>
      </c>
      <c r="BF15" s="11">
        <f t="shared" si="3"/>
        <v>1775140</v>
      </c>
      <c r="BG15" s="11">
        <f t="shared" si="3"/>
        <v>202189.12</v>
      </c>
      <c r="BH15" s="11">
        <f t="shared" si="3"/>
        <v>5299808</v>
      </c>
      <c r="BI15" s="11">
        <f t="shared" si="3"/>
        <v>620208.31000000006</v>
      </c>
      <c r="BJ15" s="11">
        <f t="shared" si="3"/>
        <v>486840</v>
      </c>
      <c r="BK15" s="11">
        <f t="shared" si="3"/>
        <v>12416</v>
      </c>
      <c r="BL15" s="11">
        <f t="shared" si="3"/>
        <v>1199686</v>
      </c>
      <c r="BM15" s="11">
        <f t="shared" si="3"/>
        <v>30688</v>
      </c>
      <c r="BN15" s="11">
        <f t="shared" si="3"/>
        <v>918913</v>
      </c>
      <c r="BO15" s="11">
        <f t="shared" ref="BO15:DZ15" si="4">BO13+BO14</f>
        <v>41420</v>
      </c>
      <c r="BP15" s="11">
        <f t="shared" si="4"/>
        <v>2208604</v>
      </c>
      <c r="BQ15" s="11">
        <f t="shared" si="4"/>
        <v>112523</v>
      </c>
      <c r="BR15" s="11">
        <f t="shared" si="4"/>
        <v>469899</v>
      </c>
      <c r="BS15" s="11">
        <f t="shared" si="4"/>
        <v>33062</v>
      </c>
      <c r="BT15" s="11">
        <f t="shared" si="4"/>
        <v>1216305</v>
      </c>
      <c r="BU15" s="11">
        <f t="shared" si="4"/>
        <v>88534</v>
      </c>
      <c r="BV15" s="11">
        <f t="shared" si="4"/>
        <v>60101</v>
      </c>
      <c r="BW15" s="11">
        <f t="shared" si="4"/>
        <v>16248</v>
      </c>
      <c r="BX15" s="11">
        <f t="shared" si="4"/>
        <v>173240</v>
      </c>
      <c r="BY15" s="11">
        <f t="shared" si="4"/>
        <v>41538</v>
      </c>
      <c r="BZ15" s="11">
        <f t="shared" si="4"/>
        <v>570587</v>
      </c>
      <c r="CA15" s="11">
        <f t="shared" si="4"/>
        <v>30186</v>
      </c>
      <c r="CB15" s="11">
        <f t="shared" si="4"/>
        <v>719789</v>
      </c>
      <c r="CC15" s="11">
        <f t="shared" si="4"/>
        <v>83353</v>
      </c>
      <c r="CD15" s="11">
        <f t="shared" si="4"/>
        <v>3804554</v>
      </c>
      <c r="CE15" s="41">
        <f t="shared" si="4"/>
        <v>354929</v>
      </c>
      <c r="CF15" s="11">
        <f t="shared" si="4"/>
        <v>10966933</v>
      </c>
      <c r="CG15" s="41">
        <f t="shared" si="4"/>
        <v>1112849</v>
      </c>
      <c r="CH15" s="11">
        <f t="shared" si="4"/>
        <v>8257437</v>
      </c>
      <c r="CI15" s="11">
        <f t="shared" si="4"/>
        <v>588918</v>
      </c>
      <c r="CJ15" s="11">
        <f t="shared" si="4"/>
        <v>0</v>
      </c>
      <c r="CK15" s="11">
        <f t="shared" si="4"/>
        <v>0</v>
      </c>
      <c r="CL15" s="11">
        <f t="shared" si="4"/>
        <v>2471945</v>
      </c>
      <c r="CM15" s="11">
        <f t="shared" si="4"/>
        <v>321345.45</v>
      </c>
      <c r="CN15" s="11">
        <f t="shared" si="4"/>
        <v>7440119</v>
      </c>
      <c r="CO15" s="11">
        <f t="shared" si="4"/>
        <v>1006968</v>
      </c>
      <c r="CP15" s="11">
        <f t="shared" si="4"/>
        <v>16232</v>
      </c>
      <c r="CQ15" s="11">
        <f t="shared" si="4"/>
        <v>3494</v>
      </c>
      <c r="CR15" s="11">
        <f t="shared" si="4"/>
        <v>36894</v>
      </c>
      <c r="CS15" s="11">
        <f t="shared" si="4"/>
        <v>9527</v>
      </c>
      <c r="CT15" s="11">
        <f t="shared" si="4"/>
        <v>1599421</v>
      </c>
      <c r="CU15" s="11">
        <f t="shared" si="4"/>
        <v>157103</v>
      </c>
      <c r="CV15" s="11">
        <f t="shared" si="4"/>
        <v>4613026</v>
      </c>
      <c r="CW15" s="11">
        <f t="shared" si="4"/>
        <v>601604</v>
      </c>
      <c r="CX15" s="11">
        <f t="shared" si="4"/>
        <v>0</v>
      </c>
      <c r="CY15" s="11">
        <f t="shared" si="4"/>
        <v>0</v>
      </c>
      <c r="CZ15" s="11">
        <f t="shared" si="4"/>
        <v>0</v>
      </c>
      <c r="DA15" s="11">
        <f t="shared" si="4"/>
        <v>0</v>
      </c>
      <c r="DB15" s="11">
        <f t="shared" si="4"/>
        <v>251546</v>
      </c>
      <c r="DC15" s="11">
        <f t="shared" si="4"/>
        <v>61508</v>
      </c>
      <c r="DD15" s="11">
        <f t="shared" si="4"/>
        <v>704926</v>
      </c>
      <c r="DE15" s="11">
        <f t="shared" si="4"/>
        <v>175149</v>
      </c>
      <c r="DF15" s="11">
        <f t="shared" si="4"/>
        <v>540456</v>
      </c>
      <c r="DG15" s="11">
        <f t="shared" si="4"/>
        <v>98192</v>
      </c>
      <c r="DH15" s="11">
        <f t="shared" si="4"/>
        <v>1468324</v>
      </c>
      <c r="DI15" s="11">
        <f t="shared" si="4"/>
        <v>277562</v>
      </c>
      <c r="DJ15" s="11">
        <f t="shared" si="4"/>
        <v>2126468</v>
      </c>
      <c r="DK15" s="11">
        <f t="shared" si="4"/>
        <v>173532.84</v>
      </c>
      <c r="DL15" s="11">
        <f t="shared" si="4"/>
        <v>5297287</v>
      </c>
      <c r="DM15" s="11">
        <f t="shared" si="4"/>
        <v>484943.17</v>
      </c>
      <c r="DN15" s="11">
        <f t="shared" si="4"/>
        <v>1000538</v>
      </c>
      <c r="DO15" s="11">
        <f t="shared" si="4"/>
        <v>61969.05</v>
      </c>
      <c r="DP15" s="11">
        <f t="shared" si="4"/>
        <v>2571051</v>
      </c>
      <c r="DQ15" s="11">
        <f t="shared" si="4"/>
        <v>179640.24</v>
      </c>
      <c r="DR15" s="11">
        <f t="shared" si="4"/>
        <v>1297213</v>
      </c>
      <c r="DS15" s="11">
        <f t="shared" si="4"/>
        <v>162787</v>
      </c>
      <c r="DT15" s="11">
        <f t="shared" si="4"/>
        <v>3395929</v>
      </c>
      <c r="DU15" s="11">
        <f t="shared" si="4"/>
        <v>436346</v>
      </c>
      <c r="DV15" s="11">
        <f t="shared" si="4"/>
        <v>2801035</v>
      </c>
      <c r="DW15" s="11">
        <f t="shared" si="4"/>
        <v>172677</v>
      </c>
      <c r="DX15" s="11">
        <f t="shared" si="4"/>
        <v>8145801</v>
      </c>
      <c r="DY15" s="11">
        <f t="shared" si="4"/>
        <v>568825</v>
      </c>
      <c r="DZ15" s="11">
        <f t="shared" si="4"/>
        <v>4025313</v>
      </c>
      <c r="EA15" s="11">
        <f t="shared" ref="EA15:EG15" si="5">EA13+EA14</f>
        <v>456721</v>
      </c>
      <c r="EB15" s="11">
        <f t="shared" si="5"/>
        <v>12557237</v>
      </c>
      <c r="EC15" s="11">
        <f t="shared" si="5"/>
        <v>1253382</v>
      </c>
      <c r="ED15" s="11">
        <f t="shared" si="5"/>
        <v>361169</v>
      </c>
      <c r="EE15" s="11">
        <f t="shared" si="5"/>
        <v>111767</v>
      </c>
      <c r="EF15" s="11">
        <f t="shared" si="5"/>
        <v>1009011</v>
      </c>
      <c r="EG15" s="11">
        <f t="shared" si="5"/>
        <v>230934</v>
      </c>
    </row>
  </sheetData>
  <mergeCells count="102">
    <mergeCell ref="AD3:AG3"/>
    <mergeCell ref="AH3:AK3"/>
    <mergeCell ref="AL3:AO3"/>
    <mergeCell ref="DN3:DQ3"/>
    <mergeCell ref="CD3:CG3"/>
    <mergeCell ref="CH3:CK3"/>
    <mergeCell ref="CL3:CO3"/>
    <mergeCell ref="CP3:CS3"/>
    <mergeCell ref="V4:W4"/>
    <mergeCell ref="V3:Y3"/>
    <mergeCell ref="X4:Y4"/>
    <mergeCell ref="AP3:AS3"/>
    <mergeCell ref="AT3:AW3"/>
    <mergeCell ref="AX3:BA3"/>
    <mergeCell ref="BB3:BE3"/>
    <mergeCell ref="BF3:BI3"/>
    <mergeCell ref="AJ4:AK4"/>
    <mergeCell ref="AL4:AM4"/>
    <mergeCell ref="AN4:AO4"/>
    <mergeCell ref="AP4:AQ4"/>
    <mergeCell ref="AR4:AS4"/>
    <mergeCell ref="Z4:AA4"/>
    <mergeCell ref="AB4:AC4"/>
    <mergeCell ref="AD4:AE4"/>
    <mergeCell ref="B3:E3"/>
    <mergeCell ref="F3:I3"/>
    <mergeCell ref="J3:M3"/>
    <mergeCell ref="N3:Q3"/>
    <mergeCell ref="R3:U3"/>
    <mergeCell ref="Z3:AC3"/>
    <mergeCell ref="DN4:DO4"/>
    <mergeCell ref="DP4:DQ4"/>
    <mergeCell ref="CT3:CW3"/>
    <mergeCell ref="CT4:CU4"/>
    <mergeCell ref="CV4:CW4"/>
    <mergeCell ref="CX3:DA3"/>
    <mergeCell ref="DB3:DE3"/>
    <mergeCell ref="DF3:DI3"/>
    <mergeCell ref="DJ3:DM3"/>
    <mergeCell ref="DF4:DG4"/>
    <mergeCell ref="DH4:DI4"/>
    <mergeCell ref="DJ4:DK4"/>
    <mergeCell ref="DL4:DM4"/>
    <mergeCell ref="BJ3:BM3"/>
    <mergeCell ref="BN3:BQ3"/>
    <mergeCell ref="BR3:BU3"/>
    <mergeCell ref="BV3:BY3"/>
    <mergeCell ref="BZ3:CC3"/>
    <mergeCell ref="DR3:DU3"/>
    <mergeCell ref="DV3:DY3"/>
    <mergeCell ref="DZ3:EC3"/>
    <mergeCell ref="ED3:EG3"/>
    <mergeCell ref="ED4:EE4"/>
    <mergeCell ref="EF4:EG4"/>
    <mergeCell ref="EB4:EC4"/>
    <mergeCell ref="DZ4:EA4"/>
    <mergeCell ref="DT4:DU4"/>
    <mergeCell ref="DV4:DW4"/>
    <mergeCell ref="DX4:DY4"/>
    <mergeCell ref="DR4:DS4"/>
    <mergeCell ref="L4:M4"/>
    <mergeCell ref="N4:O4"/>
    <mergeCell ref="P4:Q4"/>
    <mergeCell ref="R4:S4"/>
    <mergeCell ref="T4:U4"/>
    <mergeCell ref="B4:C4"/>
    <mergeCell ref="D4:E4"/>
    <mergeCell ref="F4:G4"/>
    <mergeCell ref="H4:I4"/>
    <mergeCell ref="J4:K4"/>
    <mergeCell ref="AF4:AG4"/>
    <mergeCell ref="AH4:AI4"/>
    <mergeCell ref="BD4:BE4"/>
    <mergeCell ref="BF4:BG4"/>
    <mergeCell ref="BH4:BI4"/>
    <mergeCell ref="BJ4:BK4"/>
    <mergeCell ref="BL4:BM4"/>
    <mergeCell ref="AT4:AU4"/>
    <mergeCell ref="AV4:AW4"/>
    <mergeCell ref="AX4:AY4"/>
    <mergeCell ref="AZ4:BA4"/>
    <mergeCell ref="BB4:BC4"/>
    <mergeCell ref="BX4:BY4"/>
    <mergeCell ref="BZ4:CA4"/>
    <mergeCell ref="CB4:CC4"/>
    <mergeCell ref="CD4:CE4"/>
    <mergeCell ref="CF4:CG4"/>
    <mergeCell ref="BN4:BO4"/>
    <mergeCell ref="BP4:BQ4"/>
    <mergeCell ref="BR4:BS4"/>
    <mergeCell ref="BT4:BU4"/>
    <mergeCell ref="BV4:BW4"/>
    <mergeCell ref="CR4:CS4"/>
    <mergeCell ref="CX4:CY4"/>
    <mergeCell ref="CZ4:DA4"/>
    <mergeCell ref="DB4:DC4"/>
    <mergeCell ref="DD4:DE4"/>
    <mergeCell ref="CH4:CI4"/>
    <mergeCell ref="CJ4:CK4"/>
    <mergeCell ref="CL4:CM4"/>
    <mergeCell ref="CN4:CO4"/>
    <mergeCell ref="CP4:CQ4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3.140625" style="7" customWidth="1"/>
    <col min="2" max="69" width="16" style="7" customWidth="1"/>
    <col min="70" max="71" width="16" style="44" customWidth="1"/>
    <col min="72" max="16384" width="9.140625" style="7"/>
  </cols>
  <sheetData>
    <row r="1" spans="1:71" ht="18.75" x14ac:dyDescent="0.3">
      <c r="A1" s="17" t="s">
        <v>293</v>
      </c>
    </row>
    <row r="2" spans="1:71" x14ac:dyDescent="0.25">
      <c r="A2" s="6" t="s">
        <v>47</v>
      </c>
    </row>
    <row r="3" spans="1:71" x14ac:dyDescent="0.25">
      <c r="A3" s="3" t="s">
        <v>0</v>
      </c>
      <c r="B3" s="107" t="s">
        <v>1</v>
      </c>
      <c r="C3" s="108"/>
      <c r="D3" s="107" t="s">
        <v>2</v>
      </c>
      <c r="E3" s="108"/>
      <c r="F3" s="107" t="s">
        <v>3</v>
      </c>
      <c r="G3" s="108"/>
      <c r="H3" s="107" t="s">
        <v>307</v>
      </c>
      <c r="I3" s="108"/>
      <c r="J3" s="107" t="s">
        <v>5</v>
      </c>
      <c r="K3" s="108"/>
      <c r="L3" s="107" t="s">
        <v>6</v>
      </c>
      <c r="M3" s="108"/>
      <c r="N3" s="107" t="s">
        <v>7</v>
      </c>
      <c r="O3" s="108"/>
      <c r="P3" s="107" t="s">
        <v>8</v>
      </c>
      <c r="Q3" s="108"/>
      <c r="R3" s="107" t="s">
        <v>9</v>
      </c>
      <c r="S3" s="108"/>
      <c r="T3" s="107" t="s">
        <v>10</v>
      </c>
      <c r="U3" s="108"/>
      <c r="V3" s="107" t="s">
        <v>11</v>
      </c>
      <c r="W3" s="108"/>
      <c r="X3" s="107" t="s">
        <v>12</v>
      </c>
      <c r="Y3" s="108"/>
      <c r="Z3" s="107" t="s">
        <v>13</v>
      </c>
      <c r="AA3" s="108"/>
      <c r="AB3" s="107" t="s">
        <v>14</v>
      </c>
      <c r="AC3" s="108"/>
      <c r="AD3" s="107" t="s">
        <v>15</v>
      </c>
      <c r="AE3" s="108"/>
      <c r="AF3" s="107" t="s">
        <v>16</v>
      </c>
      <c r="AG3" s="108"/>
      <c r="AH3" s="107" t="s">
        <v>17</v>
      </c>
      <c r="AI3" s="108"/>
      <c r="AJ3" s="107" t="s">
        <v>18</v>
      </c>
      <c r="AK3" s="108"/>
      <c r="AL3" s="107" t="s">
        <v>296</v>
      </c>
      <c r="AM3" s="108"/>
      <c r="AN3" s="107" t="s">
        <v>19</v>
      </c>
      <c r="AO3" s="108"/>
      <c r="AP3" s="107" t="s">
        <v>20</v>
      </c>
      <c r="AQ3" s="108"/>
      <c r="AR3" s="107" t="s">
        <v>21</v>
      </c>
      <c r="AS3" s="108"/>
      <c r="AT3" s="107" t="s">
        <v>22</v>
      </c>
      <c r="AU3" s="108"/>
      <c r="AV3" s="107" t="s">
        <v>23</v>
      </c>
      <c r="AW3" s="108"/>
      <c r="AX3" s="107" t="s">
        <v>24</v>
      </c>
      <c r="AY3" s="108"/>
      <c r="AZ3" s="107" t="s">
        <v>25</v>
      </c>
      <c r="BA3" s="108"/>
      <c r="BB3" s="107" t="s">
        <v>26</v>
      </c>
      <c r="BC3" s="108"/>
      <c r="BD3" s="107" t="s">
        <v>27</v>
      </c>
      <c r="BE3" s="108"/>
      <c r="BF3" s="107" t="s">
        <v>28</v>
      </c>
      <c r="BG3" s="108"/>
      <c r="BH3" s="107" t="s">
        <v>29</v>
      </c>
      <c r="BI3" s="108"/>
      <c r="BJ3" s="107" t="s">
        <v>30</v>
      </c>
      <c r="BK3" s="108"/>
      <c r="BL3" s="107" t="s">
        <v>31</v>
      </c>
      <c r="BM3" s="108"/>
      <c r="BN3" s="111" t="s">
        <v>32</v>
      </c>
      <c r="BO3" s="112"/>
      <c r="BP3" s="107" t="s">
        <v>33</v>
      </c>
      <c r="BQ3" s="108"/>
      <c r="BR3" s="109" t="s">
        <v>34</v>
      </c>
      <c r="BS3" s="110"/>
    </row>
    <row r="4" spans="1:71" ht="30" x14ac:dyDescent="0.25">
      <c r="A4" s="3"/>
      <c r="B4" s="66" t="s">
        <v>294</v>
      </c>
      <c r="C4" s="67" t="s">
        <v>295</v>
      </c>
      <c r="D4" s="66" t="s">
        <v>294</v>
      </c>
      <c r="E4" s="67" t="s">
        <v>295</v>
      </c>
      <c r="F4" s="66" t="s">
        <v>294</v>
      </c>
      <c r="G4" s="67" t="s">
        <v>295</v>
      </c>
      <c r="H4" s="66" t="s">
        <v>294</v>
      </c>
      <c r="I4" s="67" t="s">
        <v>295</v>
      </c>
      <c r="J4" s="66" t="s">
        <v>294</v>
      </c>
      <c r="K4" s="67" t="s">
        <v>295</v>
      </c>
      <c r="L4" s="66" t="s">
        <v>294</v>
      </c>
      <c r="M4" s="67" t="s">
        <v>295</v>
      </c>
      <c r="N4" s="66" t="s">
        <v>294</v>
      </c>
      <c r="O4" s="67" t="s">
        <v>295</v>
      </c>
      <c r="P4" s="66" t="s">
        <v>294</v>
      </c>
      <c r="Q4" s="67" t="s">
        <v>295</v>
      </c>
      <c r="R4" s="66" t="s">
        <v>294</v>
      </c>
      <c r="S4" s="67" t="s">
        <v>295</v>
      </c>
      <c r="T4" s="66" t="s">
        <v>294</v>
      </c>
      <c r="U4" s="67" t="s">
        <v>295</v>
      </c>
      <c r="V4" s="66" t="s">
        <v>294</v>
      </c>
      <c r="W4" s="67" t="s">
        <v>295</v>
      </c>
      <c r="X4" s="66" t="s">
        <v>294</v>
      </c>
      <c r="Y4" s="67" t="s">
        <v>295</v>
      </c>
      <c r="Z4" s="66" t="s">
        <v>294</v>
      </c>
      <c r="AA4" s="67" t="s">
        <v>295</v>
      </c>
      <c r="AB4" s="66" t="s">
        <v>294</v>
      </c>
      <c r="AC4" s="67" t="s">
        <v>295</v>
      </c>
      <c r="AD4" s="66" t="s">
        <v>294</v>
      </c>
      <c r="AE4" s="67" t="s">
        <v>295</v>
      </c>
      <c r="AF4" s="66" t="s">
        <v>294</v>
      </c>
      <c r="AG4" s="67" t="s">
        <v>295</v>
      </c>
      <c r="AH4" s="66" t="s">
        <v>294</v>
      </c>
      <c r="AI4" s="67" t="s">
        <v>295</v>
      </c>
      <c r="AJ4" s="66" t="s">
        <v>294</v>
      </c>
      <c r="AK4" s="67" t="s">
        <v>295</v>
      </c>
      <c r="AL4" s="66" t="s">
        <v>294</v>
      </c>
      <c r="AM4" s="67" t="s">
        <v>295</v>
      </c>
      <c r="AN4" s="66" t="s">
        <v>294</v>
      </c>
      <c r="AO4" s="67" t="s">
        <v>295</v>
      </c>
      <c r="AP4" s="66" t="s">
        <v>294</v>
      </c>
      <c r="AQ4" s="67" t="s">
        <v>295</v>
      </c>
      <c r="AR4" s="66" t="s">
        <v>294</v>
      </c>
      <c r="AS4" s="67" t="s">
        <v>295</v>
      </c>
      <c r="AT4" s="66" t="s">
        <v>294</v>
      </c>
      <c r="AU4" s="67" t="s">
        <v>295</v>
      </c>
      <c r="AV4" s="66" t="s">
        <v>294</v>
      </c>
      <c r="AW4" s="67" t="s">
        <v>295</v>
      </c>
      <c r="AX4" s="66" t="s">
        <v>294</v>
      </c>
      <c r="AY4" s="67" t="s">
        <v>295</v>
      </c>
      <c r="AZ4" s="66" t="s">
        <v>294</v>
      </c>
      <c r="BA4" s="67" t="s">
        <v>295</v>
      </c>
      <c r="BB4" s="66" t="s">
        <v>294</v>
      </c>
      <c r="BC4" s="67" t="s">
        <v>295</v>
      </c>
      <c r="BD4" s="66" t="s">
        <v>294</v>
      </c>
      <c r="BE4" s="67" t="s">
        <v>295</v>
      </c>
      <c r="BF4" s="66" t="s">
        <v>294</v>
      </c>
      <c r="BG4" s="67" t="s">
        <v>295</v>
      </c>
      <c r="BH4" s="66" t="s">
        <v>294</v>
      </c>
      <c r="BI4" s="67" t="s">
        <v>295</v>
      </c>
      <c r="BJ4" s="66" t="s">
        <v>294</v>
      </c>
      <c r="BK4" s="67" t="s">
        <v>295</v>
      </c>
      <c r="BL4" s="66" t="s">
        <v>294</v>
      </c>
      <c r="BM4" s="67" t="s">
        <v>295</v>
      </c>
      <c r="BN4" s="66" t="s">
        <v>294</v>
      </c>
      <c r="BO4" s="67" t="s">
        <v>295</v>
      </c>
      <c r="BP4" s="66" t="s">
        <v>294</v>
      </c>
      <c r="BQ4" s="67" t="s">
        <v>295</v>
      </c>
      <c r="BR4" s="66" t="s">
        <v>294</v>
      </c>
      <c r="BS4" s="67" t="s">
        <v>295</v>
      </c>
    </row>
    <row r="5" spans="1:71" x14ac:dyDescent="0.25">
      <c r="A5" s="3" t="s">
        <v>266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83"/>
      <c r="BS5" s="83"/>
    </row>
    <row r="6" spans="1:71" x14ac:dyDescent="0.25">
      <c r="A6" s="2" t="s">
        <v>267</v>
      </c>
      <c r="B6" s="10"/>
      <c r="C6" s="10"/>
      <c r="D6" s="10"/>
      <c r="E6" s="10"/>
      <c r="F6" s="10"/>
      <c r="G6" s="10"/>
      <c r="H6" s="10"/>
      <c r="I6" s="10"/>
      <c r="J6" s="10">
        <v>-552590</v>
      </c>
      <c r="K6" s="10">
        <v>367277</v>
      </c>
      <c r="L6" s="10">
        <v>122799</v>
      </c>
      <c r="M6" s="10">
        <v>133625</v>
      </c>
      <c r="N6" s="10">
        <v>186660</v>
      </c>
      <c r="O6" s="10">
        <v>310818</v>
      </c>
      <c r="P6" s="10">
        <v>22236</v>
      </c>
      <c r="Q6" s="10">
        <v>239145</v>
      </c>
      <c r="R6" s="10">
        <v>-3002</v>
      </c>
      <c r="S6" s="10">
        <v>-13189</v>
      </c>
      <c r="T6" s="10"/>
      <c r="U6" s="10"/>
      <c r="V6" s="10">
        <v>-10872</v>
      </c>
      <c r="W6" s="10">
        <v>11328</v>
      </c>
      <c r="X6" s="10">
        <v>16695</v>
      </c>
      <c r="Y6" s="10">
        <v>37281</v>
      </c>
      <c r="Z6" s="10">
        <v>-192158</v>
      </c>
      <c r="AA6" s="10">
        <v>-586390</v>
      </c>
      <c r="AB6" s="10">
        <v>383794</v>
      </c>
      <c r="AC6" s="10">
        <v>574351</v>
      </c>
      <c r="AD6" s="10">
        <v>138899</v>
      </c>
      <c r="AE6" s="10">
        <v>448233</v>
      </c>
      <c r="AF6" s="10">
        <v>-12676</v>
      </c>
      <c r="AG6" s="10">
        <v>-64682</v>
      </c>
      <c r="AH6" s="10">
        <v>33897</v>
      </c>
      <c r="AI6" s="10">
        <v>24988</v>
      </c>
      <c r="AJ6" s="10">
        <v>-59229</v>
      </c>
      <c r="AK6" s="10">
        <v>-202327</v>
      </c>
      <c r="AL6" s="10"/>
      <c r="AM6" s="10"/>
      <c r="AN6" s="10"/>
      <c r="AO6" s="10"/>
      <c r="AP6" s="10">
        <v>296363</v>
      </c>
      <c r="AQ6" s="10">
        <v>255688</v>
      </c>
      <c r="AR6" s="10">
        <v>1353094</v>
      </c>
      <c r="AS6" s="10">
        <v>1951916</v>
      </c>
      <c r="AT6" s="10">
        <v>198340</v>
      </c>
      <c r="AU6" s="10">
        <v>196637</v>
      </c>
      <c r="AV6" s="10">
        <v>3450</v>
      </c>
      <c r="AW6" s="10">
        <v>2571</v>
      </c>
      <c r="AX6" s="10">
        <v>244887</v>
      </c>
      <c r="AY6" s="10">
        <v>921718</v>
      </c>
      <c r="AZ6" s="10"/>
      <c r="BA6" s="10"/>
      <c r="BB6" s="10"/>
      <c r="BC6" s="10"/>
      <c r="BD6" s="10">
        <v>90065</v>
      </c>
      <c r="BE6" s="10">
        <v>64727</v>
      </c>
      <c r="BF6" s="10">
        <v>690457</v>
      </c>
      <c r="BG6" s="10">
        <v>2077270</v>
      </c>
      <c r="BH6" s="10">
        <v>61326</v>
      </c>
      <c r="BI6" s="10">
        <v>124601</v>
      </c>
      <c r="BJ6" s="10"/>
      <c r="BK6" s="10"/>
      <c r="BL6" s="10">
        <v>86614</v>
      </c>
      <c r="BM6" s="10">
        <v>541162</v>
      </c>
      <c r="BN6" s="10">
        <v>699102</v>
      </c>
      <c r="BO6" s="10">
        <v>-3683839</v>
      </c>
      <c r="BP6" s="10">
        <v>123561</v>
      </c>
      <c r="BQ6" s="10">
        <v>191676</v>
      </c>
      <c r="BR6" s="84">
        <f t="shared" ref="BR6:BR8" si="0">B6+D6+F6+H6+J6+L6+N6+P6+R6+T6+V6+X6+Z6+AB6+AD6+AF6+AH6+AJ6+AL6+AN6+AP6+AR6+AT6+AV6+AX6+AZ6+BB6+BD6+BF6+BH6+BJ6+BL6+BN6+BP6</f>
        <v>3921712</v>
      </c>
      <c r="BS6" s="84">
        <f t="shared" ref="BS6:BS8" si="1">C6+E6+G6+I6+K6+M6+O6+Q6+S6+U6+W6+Y6+AA6+AC6+AE6+AG6+AI6+AK6+AM6+AO6+AQ6+AS6+AU6+AW6+AY6+BA6+BC6+BE6+BG6+BI6+BK6+BM6+BO6+BQ6</f>
        <v>3924585</v>
      </c>
    </row>
    <row r="7" spans="1:71" x14ac:dyDescent="0.25">
      <c r="A7" s="2" t="s">
        <v>268</v>
      </c>
      <c r="B7" s="10"/>
      <c r="C7" s="10"/>
      <c r="D7" s="10"/>
      <c r="E7" s="10"/>
      <c r="F7" s="10"/>
      <c r="G7" s="10"/>
      <c r="H7" s="10"/>
      <c r="I7" s="10"/>
      <c r="J7" s="10">
        <v>95246</v>
      </c>
      <c r="K7" s="10">
        <v>16588</v>
      </c>
      <c r="L7" s="10">
        <v>-85541</v>
      </c>
      <c r="M7" s="10">
        <v>-251388</v>
      </c>
      <c r="N7" s="10">
        <v>5639</v>
      </c>
      <c r="O7" s="10">
        <v>32387</v>
      </c>
      <c r="P7" s="10"/>
      <c r="Q7" s="70"/>
      <c r="R7" s="70">
        <v>-664</v>
      </c>
      <c r="S7" s="70">
        <v>-1771</v>
      </c>
      <c r="T7" s="70"/>
      <c r="U7" s="70"/>
      <c r="V7" s="70">
        <v>19805</v>
      </c>
      <c r="W7" s="70">
        <v>18274</v>
      </c>
      <c r="X7" s="70">
        <v>1668</v>
      </c>
      <c r="Y7" s="70">
        <v>1013</v>
      </c>
      <c r="Z7" s="70">
        <v>-94158</v>
      </c>
      <c r="AA7" s="70">
        <v>-211489</v>
      </c>
      <c r="AB7" s="70">
        <v>84125</v>
      </c>
      <c r="AC7" s="70">
        <v>240624</v>
      </c>
      <c r="AD7" s="70">
        <v>101106</v>
      </c>
      <c r="AE7" s="70">
        <v>135833</v>
      </c>
      <c r="AF7" s="70"/>
      <c r="AG7" s="70"/>
      <c r="AH7" s="70">
        <v>39350</v>
      </c>
      <c r="AI7" s="70">
        <v>27980</v>
      </c>
      <c r="AJ7" s="70">
        <v>4257</v>
      </c>
      <c r="AK7" s="10">
        <v>-10476</v>
      </c>
      <c r="AL7" s="10"/>
      <c r="AM7" s="10"/>
      <c r="AN7" s="10"/>
      <c r="AO7" s="10"/>
      <c r="AP7" s="10">
        <v>104760</v>
      </c>
      <c r="AQ7" s="10">
        <v>280693</v>
      </c>
      <c r="AR7" s="10">
        <v>551989</v>
      </c>
      <c r="AS7" s="10">
        <v>944836</v>
      </c>
      <c r="AT7" s="10">
        <v>129505</v>
      </c>
      <c r="AU7" s="10">
        <v>-367906</v>
      </c>
      <c r="AV7" s="10">
        <v>79</v>
      </c>
      <c r="AW7" s="10">
        <v>196</v>
      </c>
      <c r="AX7" s="10">
        <v>-25301</v>
      </c>
      <c r="AY7" s="10">
        <v>-34475</v>
      </c>
      <c r="AZ7" s="10"/>
      <c r="BA7" s="10"/>
      <c r="BB7" s="10"/>
      <c r="BC7" s="10"/>
      <c r="BD7" s="10">
        <v>7847</v>
      </c>
      <c r="BE7" s="10">
        <v>19417</v>
      </c>
      <c r="BF7" s="10">
        <v>8668</v>
      </c>
      <c r="BG7" s="10">
        <v>-46459</v>
      </c>
      <c r="BH7" s="10">
        <v>2877</v>
      </c>
      <c r="BI7" s="10">
        <v>4470</v>
      </c>
      <c r="BJ7" s="10"/>
      <c r="BK7" s="10"/>
      <c r="BL7" s="10">
        <v>70856</v>
      </c>
      <c r="BM7" s="10">
        <v>155888</v>
      </c>
      <c r="BN7" s="10">
        <v>443770</v>
      </c>
      <c r="BO7" s="10">
        <v>420602</v>
      </c>
      <c r="BP7" s="10">
        <v>16974</v>
      </c>
      <c r="BQ7" s="10">
        <v>15845</v>
      </c>
      <c r="BR7" s="84">
        <f t="shared" si="0"/>
        <v>1482857</v>
      </c>
      <c r="BS7" s="84">
        <f t="shared" si="1"/>
        <v>1390682</v>
      </c>
    </row>
    <row r="8" spans="1:71" x14ac:dyDescent="0.25">
      <c r="A8" s="2" t="s">
        <v>269</v>
      </c>
      <c r="B8" s="10">
        <v>-541786</v>
      </c>
      <c r="C8" s="10">
        <v>-1599050</v>
      </c>
      <c r="D8" s="10">
        <v>-505760</v>
      </c>
      <c r="E8" s="10">
        <v>-1864631</v>
      </c>
      <c r="F8" s="10">
        <v>1421606</v>
      </c>
      <c r="G8" s="10">
        <v>904140</v>
      </c>
      <c r="H8" s="10">
        <v>-305341</v>
      </c>
      <c r="I8" s="10">
        <v>-2782954</v>
      </c>
      <c r="J8" s="10">
        <v>2495569</v>
      </c>
      <c r="K8" s="10">
        <v>7359390</v>
      </c>
      <c r="L8" s="10">
        <v>-397972</v>
      </c>
      <c r="M8" s="10">
        <v>-865171</v>
      </c>
      <c r="N8" s="10">
        <v>984124</v>
      </c>
      <c r="O8" s="10">
        <v>2021379</v>
      </c>
      <c r="P8" s="10">
        <v>-202420</v>
      </c>
      <c r="Q8" s="10">
        <v>-482384</v>
      </c>
      <c r="R8" s="10">
        <v>-269763</v>
      </c>
      <c r="S8" s="10">
        <v>-590862</v>
      </c>
      <c r="T8" s="10">
        <v>460679.07</v>
      </c>
      <c r="U8" s="10">
        <v>3317576.65</v>
      </c>
      <c r="V8" s="10">
        <v>598954</v>
      </c>
      <c r="W8" s="10">
        <v>1095814</v>
      </c>
      <c r="X8" s="10">
        <v>-686438</v>
      </c>
      <c r="Y8" s="10">
        <v>-1923602</v>
      </c>
      <c r="Z8" s="10">
        <v>1609858</v>
      </c>
      <c r="AA8" s="10">
        <v>4073098</v>
      </c>
      <c r="AB8" s="10">
        <v>2739095</v>
      </c>
      <c r="AC8" s="10">
        <v>9867750</v>
      </c>
      <c r="AD8" s="10">
        <v>873763</v>
      </c>
      <c r="AE8" s="10">
        <v>561700</v>
      </c>
      <c r="AF8" s="10">
        <v>-92507</v>
      </c>
      <c r="AG8" s="10">
        <v>-214789</v>
      </c>
      <c r="AH8" s="10">
        <v>-456709</v>
      </c>
      <c r="AI8" s="10">
        <v>-1502974</v>
      </c>
      <c r="AJ8" s="10">
        <v>90491</v>
      </c>
      <c r="AK8" s="10">
        <v>295776</v>
      </c>
      <c r="AL8" s="10">
        <v>-402386</v>
      </c>
      <c r="AM8" s="10">
        <v>-986369</v>
      </c>
      <c r="AN8" s="10">
        <v>416675</v>
      </c>
      <c r="AO8" s="10">
        <v>190873</v>
      </c>
      <c r="AP8" s="10">
        <v>-12658684</v>
      </c>
      <c r="AQ8" s="10">
        <v>-21747811</v>
      </c>
      <c r="AR8" s="10">
        <v>3565604</v>
      </c>
      <c r="AS8" s="10">
        <v>2639842</v>
      </c>
      <c r="AT8" s="10">
        <v>-599510</v>
      </c>
      <c r="AU8" s="10">
        <v>-6132358</v>
      </c>
      <c r="AV8" s="10">
        <v>28165</v>
      </c>
      <c r="AW8" s="10">
        <v>1528</v>
      </c>
      <c r="AX8" s="10">
        <v>887522</v>
      </c>
      <c r="AY8" s="10">
        <v>1304657</v>
      </c>
      <c r="AZ8" s="10"/>
      <c r="BA8" s="10"/>
      <c r="BB8" s="10">
        <v>-8854</v>
      </c>
      <c r="BC8" s="10">
        <v>216046</v>
      </c>
      <c r="BD8" s="10">
        <v>-17871</v>
      </c>
      <c r="BE8" s="10">
        <v>-42424</v>
      </c>
      <c r="BF8" s="10">
        <v>187095</v>
      </c>
      <c r="BG8" s="10">
        <v>1055042</v>
      </c>
      <c r="BH8" s="10">
        <v>2357235</v>
      </c>
      <c r="BI8" s="10">
        <v>6130464</v>
      </c>
      <c r="BJ8" s="10">
        <v>-423079</v>
      </c>
      <c r="BK8" s="10">
        <v>-2345034</v>
      </c>
      <c r="BL8" s="10">
        <v>1454415</v>
      </c>
      <c r="BM8" s="10">
        <v>2295197</v>
      </c>
      <c r="BN8" s="10">
        <v>-3529712</v>
      </c>
      <c r="BO8" s="10">
        <v>-11146937</v>
      </c>
      <c r="BP8" s="10">
        <v>181879</v>
      </c>
      <c r="BQ8" s="10">
        <v>550144</v>
      </c>
      <c r="BR8" s="84">
        <f t="shared" si="0"/>
        <v>-746062.9299999997</v>
      </c>
      <c r="BS8" s="84">
        <f t="shared" si="1"/>
        <v>-10346933.350000001</v>
      </c>
    </row>
    <row r="9" spans="1:71" x14ac:dyDescent="0.25">
      <c r="A9" s="3" t="s">
        <v>270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84"/>
      <c r="BS9" s="84"/>
    </row>
    <row r="10" spans="1:71" x14ac:dyDescent="0.25">
      <c r="A10" s="2" t="s">
        <v>271</v>
      </c>
      <c r="B10" s="10">
        <v>26470</v>
      </c>
      <c r="C10" s="10">
        <v>82733</v>
      </c>
      <c r="D10" s="10">
        <v>41236</v>
      </c>
      <c r="E10" s="10">
        <v>109197</v>
      </c>
      <c r="F10" s="10">
        <v>285126</v>
      </c>
      <c r="G10" s="10">
        <v>803751</v>
      </c>
      <c r="H10" s="10">
        <v>42583</v>
      </c>
      <c r="I10" s="10">
        <v>181621</v>
      </c>
      <c r="J10" s="10">
        <v>623922</v>
      </c>
      <c r="K10" s="10">
        <v>1948141</v>
      </c>
      <c r="L10" s="10">
        <v>118529</v>
      </c>
      <c r="M10" s="10">
        <v>308015</v>
      </c>
      <c r="N10" s="10">
        <v>303735</v>
      </c>
      <c r="O10" s="10">
        <v>572819</v>
      </c>
      <c r="P10" s="10">
        <v>6007</v>
      </c>
      <c r="Q10" s="10">
        <v>17893</v>
      </c>
      <c r="R10" s="10">
        <v>30254</v>
      </c>
      <c r="S10" s="10">
        <v>86167</v>
      </c>
      <c r="T10" s="10">
        <v>864188.73</v>
      </c>
      <c r="U10" s="10">
        <v>2521174.9700000002</v>
      </c>
      <c r="V10" s="10">
        <v>123101</v>
      </c>
      <c r="W10" s="10">
        <v>393567</v>
      </c>
      <c r="X10" s="10">
        <v>139112</v>
      </c>
      <c r="Y10" s="10">
        <v>421265</v>
      </c>
      <c r="Z10" s="10">
        <v>355635</v>
      </c>
      <c r="AA10" s="10">
        <v>1138927</v>
      </c>
      <c r="AB10" s="10">
        <v>967359</v>
      </c>
      <c r="AC10" s="10">
        <v>2929722</v>
      </c>
      <c r="AD10" s="10">
        <v>402495</v>
      </c>
      <c r="AE10" s="10">
        <v>1195892</v>
      </c>
      <c r="AF10" s="10">
        <v>23054</v>
      </c>
      <c r="AG10" s="10">
        <v>73715</v>
      </c>
      <c r="AH10" s="10">
        <v>96038</v>
      </c>
      <c r="AI10" s="10">
        <v>339434</v>
      </c>
      <c r="AJ10" s="10">
        <v>36560</v>
      </c>
      <c r="AK10" s="10">
        <v>121195</v>
      </c>
      <c r="AL10" s="10">
        <v>27827</v>
      </c>
      <c r="AM10" s="10">
        <v>96403</v>
      </c>
      <c r="AN10" s="10">
        <v>53143</v>
      </c>
      <c r="AO10" s="10">
        <v>156297</v>
      </c>
      <c r="AP10" s="10">
        <v>33508</v>
      </c>
      <c r="AQ10" s="10">
        <v>110508</v>
      </c>
      <c r="AR10" s="10">
        <v>2537466</v>
      </c>
      <c r="AS10" s="10">
        <v>8605362</v>
      </c>
      <c r="AT10" s="10">
        <v>-355187</v>
      </c>
      <c r="AU10" s="10">
        <v>622813</v>
      </c>
      <c r="AV10" s="10">
        <v>21903</v>
      </c>
      <c r="AW10" s="10">
        <v>75963</v>
      </c>
      <c r="AX10" s="10">
        <v>258083</v>
      </c>
      <c r="AY10" s="10">
        <v>791266</v>
      </c>
      <c r="AZ10" s="10"/>
      <c r="BA10" s="10"/>
      <c r="BB10" s="10">
        <v>50688</v>
      </c>
      <c r="BC10" s="10">
        <v>152326</v>
      </c>
      <c r="BD10" s="10">
        <v>195095</v>
      </c>
      <c r="BE10" s="10">
        <v>561035</v>
      </c>
      <c r="BF10" s="10">
        <v>297040</v>
      </c>
      <c r="BG10" s="10">
        <v>834376</v>
      </c>
      <c r="BH10" s="10">
        <v>282406</v>
      </c>
      <c r="BI10" s="10">
        <v>843981</v>
      </c>
      <c r="BJ10" s="10">
        <v>290656</v>
      </c>
      <c r="BK10" s="10">
        <v>811627</v>
      </c>
      <c r="BL10" s="10">
        <v>435058</v>
      </c>
      <c r="BM10" s="10">
        <v>1212410</v>
      </c>
      <c r="BN10" s="10">
        <v>-89101</v>
      </c>
      <c r="BO10" s="10">
        <v>944025</v>
      </c>
      <c r="BP10" s="10">
        <v>92962</v>
      </c>
      <c r="BQ10" s="10">
        <v>242160</v>
      </c>
      <c r="BR10" s="84">
        <f t="shared" ref="BR10:BR14" si="2">B10+D10+F10+H10+J10+L10+N10+P10+R10+T10+V10+X10+Z10+AB10+AD10+AF10+AH10+AJ10+AL10+AN10+AP10+AR10+AT10+AV10+AX10+AZ10+BB10+BD10+BF10+BH10+BJ10+BL10+BN10+BP10</f>
        <v>8616951.7300000004</v>
      </c>
      <c r="BS10" s="84">
        <f t="shared" ref="BS10:BS14" si="3">C10+E10+G10+I10+K10+M10+O10+Q10+S10+U10+W10+Y10+AA10+AC10+AE10+AG10+AI10+AK10+AM10+AO10+AQ10+AS10+AU10+AW10+AY10+BA10+BC10+BE10+BG10+BI10+BK10+BM10+BO10+BQ10</f>
        <v>29305780.969999999</v>
      </c>
    </row>
    <row r="11" spans="1:71" x14ac:dyDescent="0.25">
      <c r="A11" s="2" t="s">
        <v>272</v>
      </c>
      <c r="B11" s="10">
        <v>-474</v>
      </c>
      <c r="C11" s="10">
        <v>27014</v>
      </c>
      <c r="D11" s="10">
        <v>5623</v>
      </c>
      <c r="E11" s="10">
        <v>13258</v>
      </c>
      <c r="F11" s="10"/>
      <c r="G11" s="10"/>
      <c r="H11" s="10">
        <v>6004</v>
      </c>
      <c r="I11" s="10">
        <v>6684</v>
      </c>
      <c r="J11" s="10">
        <v>261725</v>
      </c>
      <c r="K11" s="10">
        <v>1185048</v>
      </c>
      <c r="L11" s="10">
        <v>12425</v>
      </c>
      <c r="M11" s="10">
        <v>63843</v>
      </c>
      <c r="N11" s="10">
        <v>95830</v>
      </c>
      <c r="O11" s="10">
        <v>152687</v>
      </c>
      <c r="P11" s="10"/>
      <c r="Q11" s="10">
        <v>728</v>
      </c>
      <c r="R11" s="10">
        <v>9069</v>
      </c>
      <c r="S11" s="10">
        <v>42878</v>
      </c>
      <c r="T11" s="10">
        <v>82331.179999999993</v>
      </c>
      <c r="U11" s="10">
        <v>269036.40999999997</v>
      </c>
      <c r="V11" s="10">
        <v>3984</v>
      </c>
      <c r="W11" s="10">
        <v>16554</v>
      </c>
      <c r="X11" s="10">
        <v>3785</v>
      </c>
      <c r="Y11" s="10">
        <v>17912</v>
      </c>
      <c r="Z11" s="10">
        <v>42713</v>
      </c>
      <c r="AA11" s="10">
        <v>77644</v>
      </c>
      <c r="AB11" s="10">
        <v>248471</v>
      </c>
      <c r="AC11" s="10">
        <v>880605</v>
      </c>
      <c r="AD11" s="10">
        <v>69714</v>
      </c>
      <c r="AE11" s="10">
        <v>83161</v>
      </c>
      <c r="AF11" s="10">
        <v>-634</v>
      </c>
      <c r="AG11" s="10">
        <v>27380</v>
      </c>
      <c r="AH11" s="10">
        <v>3930</v>
      </c>
      <c r="AI11" s="10">
        <v>13893</v>
      </c>
      <c r="AJ11" s="10">
        <v>13193</v>
      </c>
      <c r="AK11" s="10">
        <v>54937</v>
      </c>
      <c r="AL11" s="10">
        <v>26156</v>
      </c>
      <c r="AM11" s="10">
        <v>47816</v>
      </c>
      <c r="AN11" s="10">
        <v>3390</v>
      </c>
      <c r="AO11" s="10">
        <v>9739</v>
      </c>
      <c r="AP11" s="10">
        <v>15378</v>
      </c>
      <c r="AQ11" s="10">
        <v>38335</v>
      </c>
      <c r="AR11" s="10">
        <v>4994678</v>
      </c>
      <c r="AS11" s="10">
        <v>9702718</v>
      </c>
      <c r="AT11" s="10">
        <v>-180561</v>
      </c>
      <c r="AU11" s="10">
        <v>814567</v>
      </c>
      <c r="AV11" s="10">
        <v>361</v>
      </c>
      <c r="AW11" s="10">
        <v>3976</v>
      </c>
      <c r="AX11" s="10">
        <v>43277</v>
      </c>
      <c r="AY11" s="10">
        <v>155748</v>
      </c>
      <c r="AZ11" s="10"/>
      <c r="BA11" s="10"/>
      <c r="BB11" s="10">
        <v>227</v>
      </c>
      <c r="BC11" s="10">
        <v>227</v>
      </c>
      <c r="BD11" s="10">
        <v>13737</v>
      </c>
      <c r="BE11" s="10">
        <v>69212</v>
      </c>
      <c r="BF11" s="10">
        <v>87066</v>
      </c>
      <c r="BG11" s="10">
        <v>267120</v>
      </c>
      <c r="BH11" s="10">
        <v>2088</v>
      </c>
      <c r="BI11" s="10">
        <v>2088</v>
      </c>
      <c r="BJ11" s="10">
        <v>2261</v>
      </c>
      <c r="BK11" s="10">
        <v>25252</v>
      </c>
      <c r="BL11" s="10">
        <v>79278</v>
      </c>
      <c r="BM11" s="10">
        <v>271915</v>
      </c>
      <c r="BN11" s="10">
        <v>-28771</v>
      </c>
      <c r="BO11" s="10">
        <v>534728</v>
      </c>
      <c r="BP11" s="10">
        <v>11258</v>
      </c>
      <c r="BQ11" s="10">
        <v>20404</v>
      </c>
      <c r="BR11" s="84">
        <f t="shared" si="2"/>
        <v>5927512.1799999997</v>
      </c>
      <c r="BS11" s="84">
        <f t="shared" si="3"/>
        <v>14897107.41</v>
      </c>
    </row>
    <row r="12" spans="1:71" x14ac:dyDescent="0.25">
      <c r="A12" s="2" t="s">
        <v>273</v>
      </c>
      <c r="B12" s="10">
        <v>-697</v>
      </c>
      <c r="C12" s="10">
        <v>3354</v>
      </c>
      <c r="D12" s="10"/>
      <c r="E12" s="10"/>
      <c r="F12" s="10"/>
      <c r="G12" s="10"/>
      <c r="H12" s="10"/>
      <c r="I12" s="10"/>
      <c r="J12" s="10">
        <v>-67230</v>
      </c>
      <c r="K12" s="10">
        <v>-173130</v>
      </c>
      <c r="L12" s="10"/>
      <c r="M12" s="10"/>
      <c r="N12" s="10"/>
      <c r="O12" s="10"/>
      <c r="P12" s="10"/>
      <c r="Q12" s="10"/>
      <c r="R12" s="10">
        <v>-2139</v>
      </c>
      <c r="S12" s="10">
        <v>-6379</v>
      </c>
      <c r="T12" s="10">
        <v>-70638.259999999995</v>
      </c>
      <c r="U12" s="10">
        <v>-101338.21</v>
      </c>
      <c r="V12" s="10">
        <v>-1210</v>
      </c>
      <c r="W12" s="10">
        <v>-2438</v>
      </c>
      <c r="X12" s="10">
        <v>-1399</v>
      </c>
      <c r="Y12" s="10">
        <v>-1399</v>
      </c>
      <c r="Z12" s="10"/>
      <c r="AA12" s="10"/>
      <c r="AB12" s="10">
        <v>-209420</v>
      </c>
      <c r="AC12" s="10">
        <v>-342464</v>
      </c>
      <c r="AD12" s="10"/>
      <c r="AE12" s="10"/>
      <c r="AF12" s="10">
        <v>-2731</v>
      </c>
      <c r="AG12" s="10">
        <v>-6338</v>
      </c>
      <c r="AH12" s="10"/>
      <c r="AI12" s="10"/>
      <c r="AJ12" s="10">
        <v>62</v>
      </c>
      <c r="AK12" s="10">
        <v>-707</v>
      </c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>
        <v>-18</v>
      </c>
      <c r="AX12" s="10">
        <v>-1392</v>
      </c>
      <c r="AY12" s="10">
        <v>-10182</v>
      </c>
      <c r="AZ12" s="10"/>
      <c r="BA12" s="10"/>
      <c r="BB12" s="10"/>
      <c r="BC12" s="10"/>
      <c r="BD12" s="10">
        <v>-427</v>
      </c>
      <c r="BE12" s="10">
        <v>-14972</v>
      </c>
      <c r="BF12" s="10">
        <v>-52004</v>
      </c>
      <c r="BG12" s="10">
        <v>-135885</v>
      </c>
      <c r="BH12" s="10"/>
      <c r="BI12" s="10"/>
      <c r="BJ12" s="10"/>
      <c r="BK12" s="10"/>
      <c r="BL12" s="10">
        <v>-706</v>
      </c>
      <c r="BM12" s="10">
        <v>-35582</v>
      </c>
      <c r="BN12" s="10"/>
      <c r="BO12" s="10"/>
      <c r="BP12" s="10">
        <v>-14059</v>
      </c>
      <c r="BQ12" s="10">
        <v>-15452</v>
      </c>
      <c r="BR12" s="84">
        <f t="shared" si="2"/>
        <v>-423990.26</v>
      </c>
      <c r="BS12" s="84">
        <f t="shared" si="3"/>
        <v>-842930.21</v>
      </c>
    </row>
    <row r="13" spans="1:71" ht="15" customHeight="1" x14ac:dyDescent="0.25">
      <c r="A13" s="2" t="s">
        <v>274</v>
      </c>
      <c r="B13" s="10"/>
      <c r="C13" s="10"/>
      <c r="D13" s="10">
        <v>-1700</v>
      </c>
      <c r="E13" s="10">
        <v>-4022</v>
      </c>
      <c r="F13" s="10">
        <v>8918</v>
      </c>
      <c r="G13" s="10">
        <v>36328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>
        <v>7955</v>
      </c>
      <c r="BM13" s="10">
        <v>37257</v>
      </c>
      <c r="BN13" s="10"/>
      <c r="BO13" s="10"/>
      <c r="BP13" s="10"/>
      <c r="BQ13" s="10"/>
      <c r="BR13" s="84">
        <f t="shared" si="2"/>
        <v>15173</v>
      </c>
      <c r="BS13" s="84">
        <f t="shared" si="3"/>
        <v>69563</v>
      </c>
    </row>
    <row r="14" spans="1:71" x14ac:dyDescent="0.25">
      <c r="A14" s="10" t="s">
        <v>275</v>
      </c>
      <c r="B14" s="10"/>
      <c r="C14" s="10"/>
      <c r="D14" s="10"/>
      <c r="E14" s="10"/>
      <c r="F14" s="10"/>
      <c r="G14" s="10"/>
      <c r="H14" s="10">
        <v>-44</v>
      </c>
      <c r="I14" s="10">
        <v>-991</v>
      </c>
      <c r="J14" s="10">
        <v>-50673</v>
      </c>
      <c r="K14" s="10">
        <v>-69332</v>
      </c>
      <c r="L14" s="10">
        <v>-1697</v>
      </c>
      <c r="M14" s="10">
        <v>-3956</v>
      </c>
      <c r="N14" s="10"/>
      <c r="O14" s="10"/>
      <c r="P14" s="10"/>
      <c r="Q14" s="10"/>
      <c r="R14" s="10">
        <v>-1123</v>
      </c>
      <c r="S14" s="10">
        <v>-1396</v>
      </c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>
        <v>-1639</v>
      </c>
      <c r="AO14" s="10">
        <v>-1634</v>
      </c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>
        <v>-5535</v>
      </c>
      <c r="BI14" s="10">
        <v>-17862</v>
      </c>
      <c r="BJ14" s="10"/>
      <c r="BK14" s="10"/>
      <c r="BL14" s="10"/>
      <c r="BM14" s="10"/>
      <c r="BN14" s="10"/>
      <c r="BO14" s="10"/>
      <c r="BP14" s="10">
        <v>-4466</v>
      </c>
      <c r="BQ14" s="10">
        <v>-8520</v>
      </c>
      <c r="BR14" s="84">
        <f t="shared" si="2"/>
        <v>-65177</v>
      </c>
      <c r="BS14" s="84">
        <f t="shared" si="3"/>
        <v>-103691</v>
      </c>
    </row>
    <row r="15" spans="1:71" x14ac:dyDescent="0.25">
      <c r="A15" s="3" t="s">
        <v>276</v>
      </c>
      <c r="B15" s="10">
        <f>B16-B14-B13-B12-B11-B10-B8-B7-B6</f>
        <v>1394</v>
      </c>
      <c r="C15" s="10">
        <f t="shared" ref="C15:AI15" si="4">C16-C14-C13-C12-C11-C10-C8-C7-C6</f>
        <v>-6708</v>
      </c>
      <c r="D15" s="10">
        <f t="shared" si="4"/>
        <v>0</v>
      </c>
      <c r="E15" s="10">
        <f t="shared" si="4"/>
        <v>0</v>
      </c>
      <c r="F15" s="10">
        <f t="shared" si="4"/>
        <v>128</v>
      </c>
      <c r="G15" s="10">
        <f t="shared" si="4"/>
        <v>47673</v>
      </c>
      <c r="H15" s="10">
        <f t="shared" si="4"/>
        <v>7527</v>
      </c>
      <c r="I15" s="10">
        <f t="shared" si="4"/>
        <v>12446</v>
      </c>
      <c r="J15" s="10">
        <f t="shared" si="4"/>
        <v>0</v>
      </c>
      <c r="K15" s="10">
        <f t="shared" si="4"/>
        <v>83335</v>
      </c>
      <c r="L15" s="10">
        <f t="shared" si="4"/>
        <v>1</v>
      </c>
      <c r="M15" s="10">
        <f t="shared" si="4"/>
        <v>0</v>
      </c>
      <c r="N15" s="10">
        <f t="shared" si="4"/>
        <v>0</v>
      </c>
      <c r="O15" s="10">
        <f t="shared" si="4"/>
        <v>0</v>
      </c>
      <c r="P15" s="10">
        <f t="shared" si="4"/>
        <v>-95</v>
      </c>
      <c r="Q15" s="10">
        <f t="shared" si="4"/>
        <v>59</v>
      </c>
      <c r="R15" s="10">
        <f t="shared" si="4"/>
        <v>18</v>
      </c>
      <c r="S15" s="10">
        <f t="shared" si="4"/>
        <v>26</v>
      </c>
      <c r="T15" s="10">
        <f t="shared" si="4"/>
        <v>10788.550000000105</v>
      </c>
      <c r="U15" s="10">
        <f t="shared" si="4"/>
        <v>29998.219999999739</v>
      </c>
      <c r="V15" s="10">
        <f t="shared" si="4"/>
        <v>393</v>
      </c>
      <c r="W15" s="10">
        <f t="shared" si="4"/>
        <v>4906</v>
      </c>
      <c r="X15" s="10">
        <f t="shared" si="4"/>
        <v>1</v>
      </c>
      <c r="Y15" s="10">
        <f t="shared" si="4"/>
        <v>24</v>
      </c>
      <c r="Z15" s="10">
        <f t="shared" si="4"/>
        <v>1</v>
      </c>
      <c r="AA15" s="10">
        <f t="shared" si="4"/>
        <v>0</v>
      </c>
      <c r="AB15" s="10">
        <f t="shared" si="4"/>
        <v>153517</v>
      </c>
      <c r="AC15" s="10">
        <f t="shared" si="4"/>
        <v>154577</v>
      </c>
      <c r="AD15" s="10">
        <f t="shared" si="4"/>
        <v>28710</v>
      </c>
      <c r="AE15" s="10">
        <f t="shared" si="4"/>
        <v>38312</v>
      </c>
      <c r="AF15" s="10">
        <f t="shared" si="4"/>
        <v>44</v>
      </c>
      <c r="AG15" s="10">
        <f t="shared" si="4"/>
        <v>-756</v>
      </c>
      <c r="AH15" s="10">
        <f t="shared" si="4"/>
        <v>-1</v>
      </c>
      <c r="AI15" s="10">
        <f t="shared" si="4"/>
        <v>0</v>
      </c>
      <c r="AJ15" s="10">
        <f t="shared" ref="AJ15:BQ15" si="5">AJ16-AJ14-AJ13-AJ12-AJ11-AJ10-AJ8-AJ7-AJ6</f>
        <v>0</v>
      </c>
      <c r="AK15" s="10">
        <f t="shared" si="5"/>
        <v>213</v>
      </c>
      <c r="AL15" s="10">
        <f t="shared" si="5"/>
        <v>0</v>
      </c>
      <c r="AM15" s="10">
        <f t="shared" si="5"/>
        <v>0</v>
      </c>
      <c r="AN15" s="10">
        <f t="shared" si="5"/>
        <v>-3121</v>
      </c>
      <c r="AO15" s="10">
        <f t="shared" si="5"/>
        <v>-295</v>
      </c>
      <c r="AP15" s="10">
        <f t="shared" si="5"/>
        <v>78282</v>
      </c>
      <c r="AQ15" s="10">
        <f t="shared" si="5"/>
        <v>150450</v>
      </c>
      <c r="AR15" s="10">
        <f t="shared" si="5"/>
        <v>32228</v>
      </c>
      <c r="AS15" s="10">
        <f t="shared" si="5"/>
        <v>133540</v>
      </c>
      <c r="AT15" s="10">
        <f t="shared" si="5"/>
        <v>92683</v>
      </c>
      <c r="AU15" s="10">
        <f t="shared" si="5"/>
        <v>1211894</v>
      </c>
      <c r="AV15" s="10">
        <f t="shared" si="5"/>
        <v>-1448</v>
      </c>
      <c r="AW15" s="10">
        <f t="shared" si="5"/>
        <v>8</v>
      </c>
      <c r="AX15" s="10">
        <f t="shared" si="5"/>
        <v>1645</v>
      </c>
      <c r="AY15" s="10">
        <f t="shared" si="5"/>
        <v>11094</v>
      </c>
      <c r="AZ15" s="10">
        <f t="shared" si="5"/>
        <v>0</v>
      </c>
      <c r="BA15" s="10">
        <f t="shared" si="5"/>
        <v>0</v>
      </c>
      <c r="BB15" s="10">
        <f t="shared" si="5"/>
        <v>0</v>
      </c>
      <c r="BC15" s="10">
        <f t="shared" si="5"/>
        <v>3500</v>
      </c>
      <c r="BD15" s="10">
        <f t="shared" si="5"/>
        <v>211</v>
      </c>
      <c r="BE15" s="10">
        <f t="shared" si="5"/>
        <v>772</v>
      </c>
      <c r="BF15" s="10">
        <f t="shared" si="5"/>
        <v>520</v>
      </c>
      <c r="BG15" s="10">
        <f t="shared" si="5"/>
        <v>2371</v>
      </c>
      <c r="BH15" s="10">
        <f t="shared" si="5"/>
        <v>0</v>
      </c>
      <c r="BI15" s="10">
        <f t="shared" si="5"/>
        <v>1</v>
      </c>
      <c r="BJ15" s="10">
        <f t="shared" si="5"/>
        <v>0</v>
      </c>
      <c r="BK15" s="10">
        <f t="shared" si="5"/>
        <v>0</v>
      </c>
      <c r="BL15" s="10">
        <f t="shared" si="5"/>
        <v>733</v>
      </c>
      <c r="BM15" s="10">
        <f t="shared" si="5"/>
        <v>3005</v>
      </c>
      <c r="BN15" s="10">
        <f t="shared" si="5"/>
        <v>400</v>
      </c>
      <c r="BO15" s="10">
        <f t="shared" si="5"/>
        <v>20792</v>
      </c>
      <c r="BP15" s="10">
        <f t="shared" si="5"/>
        <v>0</v>
      </c>
      <c r="BQ15" s="10">
        <f t="shared" si="5"/>
        <v>0</v>
      </c>
      <c r="BR15" s="84">
        <f t="shared" ref="BR15" si="6">B15+D15+F15+H15+J15+L15+N15+P15+R15+T15+V15+X15+Z15+AB15+AD15+AF15+AH15+AJ15+AL15+AN15+AP15+AR15+AT15+AV15+AX15+AZ15+BB15+BD15+BF15+BH15+BJ15+BL15+BN15+BP15</f>
        <v>404559.5500000001</v>
      </c>
      <c r="BS15" s="84">
        <f t="shared" ref="BS15" si="7">C15+E15+G15+I15+K15+M15+O15+Q15+S15+U15+W15+Y15+AA15+AC15+AE15+AG15+AI15+AK15+AM15+AO15+AQ15+AS15+AU15+AW15+AY15+BA15+BC15+BE15+BG15+BI15+BK15+BM15+BO15+BQ15</f>
        <v>1901237.2199999997</v>
      </c>
    </row>
    <row r="16" spans="1:71" s="8" customFormat="1" x14ac:dyDescent="0.25">
      <c r="A16" s="3" t="s">
        <v>39</v>
      </c>
      <c r="B16" s="11">
        <v>-515093</v>
      </c>
      <c r="C16" s="11">
        <v>-1492657</v>
      </c>
      <c r="D16" s="11">
        <v>-460601</v>
      </c>
      <c r="E16" s="11">
        <v>-1746198</v>
      </c>
      <c r="F16" s="11">
        <v>1715778</v>
      </c>
      <c r="G16" s="11">
        <v>1791892</v>
      </c>
      <c r="H16" s="11">
        <v>-249271</v>
      </c>
      <c r="I16" s="11">
        <v>-2583194</v>
      </c>
      <c r="J16" s="11">
        <v>2805969</v>
      </c>
      <c r="K16" s="11">
        <v>10717317</v>
      </c>
      <c r="L16" s="11">
        <v>-231456</v>
      </c>
      <c r="M16" s="11">
        <v>-615032</v>
      </c>
      <c r="N16" s="11">
        <v>1575988</v>
      </c>
      <c r="O16" s="11">
        <v>3090090</v>
      </c>
      <c r="P16" s="11">
        <v>-174272</v>
      </c>
      <c r="Q16" s="11">
        <v>-224559</v>
      </c>
      <c r="R16" s="11">
        <v>-237350</v>
      </c>
      <c r="S16" s="11">
        <v>-484526</v>
      </c>
      <c r="T16" s="11">
        <v>1347349.27</v>
      </c>
      <c r="U16" s="11">
        <v>6036448.04</v>
      </c>
      <c r="V16" s="11">
        <v>734155</v>
      </c>
      <c r="W16" s="11">
        <v>1538005</v>
      </c>
      <c r="X16" s="11">
        <v>-526576</v>
      </c>
      <c r="Y16" s="11">
        <v>-1447506</v>
      </c>
      <c r="Z16" s="11">
        <v>1721891</v>
      </c>
      <c r="AA16" s="11">
        <v>4491790</v>
      </c>
      <c r="AB16" s="11">
        <v>4366941</v>
      </c>
      <c r="AC16" s="11">
        <v>14305165</v>
      </c>
      <c r="AD16" s="11">
        <v>1614687</v>
      </c>
      <c r="AE16" s="11">
        <v>2463131</v>
      </c>
      <c r="AF16" s="11">
        <v>-85450</v>
      </c>
      <c r="AG16" s="11">
        <v>-185470</v>
      </c>
      <c r="AH16" s="11">
        <v>-283495</v>
      </c>
      <c r="AI16" s="11">
        <v>-1096679</v>
      </c>
      <c r="AJ16" s="11">
        <v>85334</v>
      </c>
      <c r="AK16" s="11">
        <v>258611</v>
      </c>
      <c r="AL16" s="11">
        <v>-348403</v>
      </c>
      <c r="AM16" s="11">
        <v>-842150</v>
      </c>
      <c r="AN16" s="11">
        <v>468448</v>
      </c>
      <c r="AO16" s="11">
        <v>354980</v>
      </c>
      <c r="AP16" s="11">
        <v>-12130393</v>
      </c>
      <c r="AQ16" s="11">
        <v>-20912137</v>
      </c>
      <c r="AR16" s="11">
        <v>13035059</v>
      </c>
      <c r="AS16" s="11">
        <v>23978214</v>
      </c>
      <c r="AT16" s="11">
        <v>-714730</v>
      </c>
      <c r="AU16" s="11">
        <v>-3654353</v>
      </c>
      <c r="AV16" s="11">
        <v>52510</v>
      </c>
      <c r="AW16" s="11">
        <v>84224</v>
      </c>
      <c r="AX16" s="11">
        <v>1408721</v>
      </c>
      <c r="AY16" s="11">
        <v>3139826</v>
      </c>
      <c r="AZ16" s="11"/>
      <c r="BA16" s="11"/>
      <c r="BB16" s="11">
        <v>42061</v>
      </c>
      <c r="BC16" s="11">
        <v>372099</v>
      </c>
      <c r="BD16" s="11">
        <v>288657</v>
      </c>
      <c r="BE16" s="11">
        <v>657767</v>
      </c>
      <c r="BF16" s="11">
        <v>1218842</v>
      </c>
      <c r="BG16" s="11">
        <v>4053835</v>
      </c>
      <c r="BH16" s="11">
        <v>2700397</v>
      </c>
      <c r="BI16" s="11">
        <v>7087743</v>
      </c>
      <c r="BJ16" s="11">
        <v>-130162</v>
      </c>
      <c r="BK16" s="11">
        <v>-1508155</v>
      </c>
      <c r="BL16" s="11">
        <v>2134203</v>
      </c>
      <c r="BM16" s="11">
        <v>4481252</v>
      </c>
      <c r="BN16" s="11">
        <v>-2504312</v>
      </c>
      <c r="BO16" s="11">
        <v>-12910629</v>
      </c>
      <c r="BP16" s="11">
        <v>408109</v>
      </c>
      <c r="BQ16" s="11">
        <v>996257</v>
      </c>
      <c r="BR16" s="79">
        <f t="shared" ref="BR16" si="8">B16+D16+F16+H16+J16+L16+N16+P16+R16+T16+V16+X16+Z16+AB16+AD16+AF16+AH16+AJ16+AL16+AN16+AP16+AR16+AT16+AV16+AX16+AZ16+BB16+BD16+BF16+BH16+BJ16+BL16+BN16+BP16</f>
        <v>19133535.27</v>
      </c>
      <c r="BS16" s="79">
        <f t="shared" ref="BS16" si="9">C16+E16+G16+I16+K16+M16+O16+Q16+S16+U16+W16+Y16+AA16+AC16+AE16+AG16+AI16+AK16+AM16+AO16+AQ16+AS16+AU16+AW16+AY16+BA16+BC16+BE16+BG16+BI16+BK16+BM16+BO16+BQ16</f>
        <v>40195401.039999999</v>
      </c>
    </row>
    <row r="17" spans="1:71" x14ac:dyDescent="0.25">
      <c r="A17" s="3" t="s">
        <v>277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83"/>
      <c r="BS17" s="83"/>
    </row>
    <row r="18" spans="1:71" x14ac:dyDescent="0.25">
      <c r="A18" s="2" t="s">
        <v>278</v>
      </c>
      <c r="B18" s="10"/>
      <c r="C18" s="10">
        <v>12500</v>
      </c>
      <c r="D18" s="10">
        <v>15000</v>
      </c>
      <c r="E18" s="10">
        <v>30000</v>
      </c>
      <c r="F18" s="10"/>
      <c r="G18" s="10"/>
      <c r="H18" s="10">
        <v>10000</v>
      </c>
      <c r="I18" s="10">
        <v>126353</v>
      </c>
      <c r="J18" s="10"/>
      <c r="K18" s="10">
        <v>742394</v>
      </c>
      <c r="L18" s="10">
        <v>240000</v>
      </c>
      <c r="M18" s="10">
        <v>622500</v>
      </c>
      <c r="N18" s="10">
        <v>-1134</v>
      </c>
      <c r="O18" s="10">
        <v>-44244</v>
      </c>
      <c r="P18" s="10">
        <v>22798</v>
      </c>
      <c r="Q18" s="10">
        <v>22798</v>
      </c>
      <c r="R18" s="10">
        <v>27140</v>
      </c>
      <c r="S18" s="10">
        <v>78937</v>
      </c>
      <c r="T18" s="10"/>
      <c r="U18" s="10"/>
      <c r="V18" s="10">
        <v>69000</v>
      </c>
      <c r="W18" s="10">
        <v>69000</v>
      </c>
      <c r="X18" s="10"/>
      <c r="Y18" s="10"/>
      <c r="Z18" s="10">
        <v>22500</v>
      </c>
      <c r="AA18" s="10">
        <v>-450</v>
      </c>
      <c r="AB18" s="10"/>
      <c r="AC18" s="10">
        <v>2705</v>
      </c>
      <c r="AD18" s="10">
        <v>25000</v>
      </c>
      <c r="AE18" s="10">
        <v>25000</v>
      </c>
      <c r="AF18" s="10"/>
      <c r="AG18" s="10"/>
      <c r="AH18" s="10"/>
      <c r="AI18" s="10"/>
      <c r="AJ18" s="10">
        <v>1</v>
      </c>
      <c r="AK18" s="10">
        <v>74745</v>
      </c>
      <c r="AL18" s="10">
        <v>30000</v>
      </c>
      <c r="AM18" s="10">
        <v>30000</v>
      </c>
      <c r="AN18" s="10">
        <v>75000</v>
      </c>
      <c r="AO18" s="10">
        <v>75000</v>
      </c>
      <c r="AP18" s="10">
        <v>12269</v>
      </c>
      <c r="AQ18" s="10">
        <v>15661</v>
      </c>
      <c r="AR18" s="10">
        <v>10326</v>
      </c>
      <c r="AS18" s="10">
        <v>134244</v>
      </c>
      <c r="AT18" s="10"/>
      <c r="AU18" s="10"/>
      <c r="AV18" s="10">
        <v>30000</v>
      </c>
      <c r="AW18" s="10">
        <v>149975</v>
      </c>
      <c r="AX18" s="10"/>
      <c r="AY18" s="10"/>
      <c r="AZ18" s="10"/>
      <c r="BA18" s="10"/>
      <c r="BB18" s="10"/>
      <c r="BC18" s="10"/>
      <c r="BD18" s="10"/>
      <c r="BE18" s="10"/>
      <c r="BF18" s="10">
        <v>109170</v>
      </c>
      <c r="BG18" s="10">
        <v>127716</v>
      </c>
      <c r="BH18" s="10"/>
      <c r="BI18" s="10"/>
      <c r="BJ18" s="10"/>
      <c r="BK18" s="10"/>
      <c r="BL18" s="10"/>
      <c r="BM18" s="10">
        <v>145376</v>
      </c>
      <c r="BN18" s="10">
        <v>-623</v>
      </c>
      <c r="BO18" s="10">
        <v>14000</v>
      </c>
      <c r="BP18" s="10"/>
      <c r="BQ18" s="10"/>
      <c r="BR18" s="84">
        <f t="shared" ref="BR18:BR20" si="10">B18+D18+F18+H18+J18+L18+N18+P18+R18+T18+V18+X18+Z18+AB18+AD18+AF18+AH18+AJ18+AL18+AN18+AP18+AR18+AT18+AV18+AX18+AZ18+BB18+BD18+BF18+BH18+BJ18+BL18+BN18+BP18</f>
        <v>696447</v>
      </c>
      <c r="BS18" s="84">
        <f t="shared" ref="BS18:BS20" si="11">C18+E18+G18+I18+K18+M18+O18+Q18+S18+U18+W18+Y18+AA18+AC18+AE18+AG18+AI18+AK18+AM18+AO18+AQ18+AS18+AU18+AW18+AY18+BA18+BC18+BE18+BG18+BI18+BK18+BM18+BO18+BQ18</f>
        <v>2454210</v>
      </c>
    </row>
    <row r="19" spans="1:71" x14ac:dyDescent="0.25">
      <c r="A19" s="2" t="s">
        <v>279</v>
      </c>
      <c r="B19" s="10"/>
      <c r="C19" s="10"/>
      <c r="D19" s="10"/>
      <c r="E19" s="10"/>
      <c r="F19" s="10"/>
      <c r="G19" s="10">
        <v>-403</v>
      </c>
      <c r="H19" s="10"/>
      <c r="I19" s="10"/>
      <c r="J19" s="10">
        <v>3643</v>
      </c>
      <c r="K19" s="10">
        <v>8190</v>
      </c>
      <c r="L19" s="10"/>
      <c r="M19" s="10">
        <v>6800</v>
      </c>
      <c r="N19" s="10">
        <v>791704</v>
      </c>
      <c r="O19" s="10">
        <v>1258671</v>
      </c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>
        <v>-30108</v>
      </c>
      <c r="AB19" s="10">
        <v>252564</v>
      </c>
      <c r="AC19" s="10">
        <v>416446</v>
      </c>
      <c r="AD19" s="10"/>
      <c r="AE19" s="10"/>
      <c r="AF19" s="10"/>
      <c r="AG19" s="10"/>
      <c r="AH19" s="10"/>
      <c r="AI19" s="10"/>
      <c r="AJ19" s="10"/>
      <c r="AK19" s="10">
        <v>456</v>
      </c>
      <c r="AL19" s="10">
        <v>3420</v>
      </c>
      <c r="AM19" s="10">
        <v>4949</v>
      </c>
      <c r="AN19" s="10">
        <v>38785</v>
      </c>
      <c r="AO19" s="10">
        <v>290529</v>
      </c>
      <c r="AP19" s="10"/>
      <c r="AQ19" s="10"/>
      <c r="AR19" s="10">
        <v>179739</v>
      </c>
      <c r="AS19" s="10">
        <v>266115</v>
      </c>
      <c r="AT19" s="10">
        <v>-186</v>
      </c>
      <c r="AU19" s="10"/>
      <c r="AV19" s="10"/>
      <c r="AW19" s="10"/>
      <c r="AX19" s="10"/>
      <c r="AY19" s="10"/>
      <c r="AZ19" s="10"/>
      <c r="BA19" s="10"/>
      <c r="BB19" s="10"/>
      <c r="BC19" s="10"/>
      <c r="BD19" s="10">
        <v>10600</v>
      </c>
      <c r="BE19" s="10">
        <v>20727</v>
      </c>
      <c r="BF19" s="10"/>
      <c r="BG19" s="10"/>
      <c r="BH19" s="10">
        <v>1266</v>
      </c>
      <c r="BI19" s="10">
        <v>1870</v>
      </c>
      <c r="BJ19" s="10"/>
      <c r="BK19" s="10"/>
      <c r="BL19" s="10">
        <v>56035</v>
      </c>
      <c r="BM19" s="10">
        <v>79262</v>
      </c>
      <c r="BN19" s="10">
        <v>-7355</v>
      </c>
      <c r="BO19" s="10">
        <v>19286</v>
      </c>
      <c r="BP19" s="10"/>
      <c r="BQ19" s="10"/>
      <c r="BR19" s="84">
        <f t="shared" si="10"/>
        <v>1330215</v>
      </c>
      <c r="BS19" s="84">
        <f t="shared" si="11"/>
        <v>2342790</v>
      </c>
    </row>
    <row r="20" spans="1:71" x14ac:dyDescent="0.25">
      <c r="A20" s="2" t="s">
        <v>62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>
        <v>1233</v>
      </c>
      <c r="P20" s="10"/>
      <c r="Q20" s="10"/>
      <c r="R20" s="10"/>
      <c r="S20" s="10"/>
      <c r="T20" s="10"/>
      <c r="U20" s="10">
        <v>322780.95</v>
      </c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>
        <v>-6828</v>
      </c>
      <c r="AU20" s="10">
        <v>15543</v>
      </c>
      <c r="AV20" s="10"/>
      <c r="AW20" s="10"/>
      <c r="AX20" s="10">
        <v>27</v>
      </c>
      <c r="AY20" s="10">
        <v>31</v>
      </c>
      <c r="AZ20" s="10"/>
      <c r="BA20" s="10"/>
      <c r="BB20" s="10"/>
      <c r="BC20" s="10"/>
      <c r="BD20" s="10">
        <v>131816</v>
      </c>
      <c r="BE20" s="10">
        <v>175777</v>
      </c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84">
        <f t="shared" si="10"/>
        <v>125015</v>
      </c>
      <c r="BS20" s="84">
        <f t="shared" si="11"/>
        <v>515364.95</v>
      </c>
    </row>
    <row r="21" spans="1:71" x14ac:dyDescent="0.25">
      <c r="A21" s="3" t="s">
        <v>280</v>
      </c>
      <c r="B21" s="10">
        <f>B22-B20-B19-B18</f>
        <v>2223</v>
      </c>
      <c r="C21" s="10">
        <f t="shared" ref="C21:AI21" si="12">C22-C20-C19-C18</f>
        <v>13579</v>
      </c>
      <c r="D21" s="10">
        <f t="shared" si="12"/>
        <v>29627</v>
      </c>
      <c r="E21" s="10">
        <f t="shared" si="12"/>
        <v>54869</v>
      </c>
      <c r="F21" s="10">
        <f t="shared" si="12"/>
        <v>19428</v>
      </c>
      <c r="G21" s="10">
        <f t="shared" si="12"/>
        <v>38175</v>
      </c>
      <c r="H21" s="10">
        <f t="shared" si="12"/>
        <v>44693</v>
      </c>
      <c r="I21" s="10">
        <f t="shared" si="12"/>
        <v>159681</v>
      </c>
      <c r="J21" s="10">
        <f t="shared" si="12"/>
        <v>83526</v>
      </c>
      <c r="K21" s="10">
        <f t="shared" si="12"/>
        <v>348511</v>
      </c>
      <c r="L21" s="10">
        <f t="shared" si="12"/>
        <v>62013</v>
      </c>
      <c r="M21" s="10">
        <f t="shared" si="12"/>
        <v>188318</v>
      </c>
      <c r="N21" s="10">
        <f t="shared" si="12"/>
        <v>58584</v>
      </c>
      <c r="O21" s="10">
        <f t="shared" si="12"/>
        <v>159994</v>
      </c>
      <c r="P21" s="10">
        <f t="shared" si="12"/>
        <v>13140</v>
      </c>
      <c r="Q21" s="10">
        <f t="shared" si="12"/>
        <v>39420</v>
      </c>
      <c r="R21" s="10">
        <f t="shared" si="12"/>
        <v>3345</v>
      </c>
      <c r="S21" s="10">
        <f t="shared" si="12"/>
        <v>7057</v>
      </c>
      <c r="T21" s="10">
        <f t="shared" si="12"/>
        <v>53611.77</v>
      </c>
      <c r="U21" s="10">
        <f t="shared" si="12"/>
        <v>96774.76999999996</v>
      </c>
      <c r="V21" s="10">
        <f t="shared" si="12"/>
        <v>3092</v>
      </c>
      <c r="W21" s="10">
        <f t="shared" si="12"/>
        <v>50911</v>
      </c>
      <c r="X21" s="10">
        <f t="shared" si="12"/>
        <v>5211</v>
      </c>
      <c r="Y21" s="10">
        <f t="shared" si="12"/>
        <v>13413</v>
      </c>
      <c r="Z21" s="10">
        <f t="shared" si="12"/>
        <v>172420</v>
      </c>
      <c r="AA21" s="10">
        <f t="shared" si="12"/>
        <v>492661</v>
      </c>
      <c r="AB21" s="10">
        <f t="shared" si="12"/>
        <v>215152</v>
      </c>
      <c r="AC21" s="10">
        <f t="shared" si="12"/>
        <v>623521</v>
      </c>
      <c r="AD21" s="10">
        <f t="shared" si="12"/>
        <v>29277</v>
      </c>
      <c r="AE21" s="10">
        <f t="shared" si="12"/>
        <v>67777</v>
      </c>
      <c r="AF21" s="10">
        <f t="shared" si="12"/>
        <v>4242</v>
      </c>
      <c r="AG21" s="10">
        <f t="shared" si="12"/>
        <v>4242</v>
      </c>
      <c r="AH21" s="10">
        <f t="shared" si="12"/>
        <v>91728</v>
      </c>
      <c r="AI21" s="10">
        <f t="shared" si="12"/>
        <v>125248</v>
      </c>
      <c r="AJ21" s="10">
        <f t="shared" ref="AJ21:BQ21" si="13">AJ22-AJ20-AJ19-AJ18</f>
        <v>41668</v>
      </c>
      <c r="AK21" s="10">
        <f t="shared" si="13"/>
        <v>111812</v>
      </c>
      <c r="AL21" s="10">
        <f t="shared" si="13"/>
        <v>8256</v>
      </c>
      <c r="AM21" s="10">
        <f t="shared" si="13"/>
        <v>43053</v>
      </c>
      <c r="AN21" s="10">
        <f t="shared" si="13"/>
        <v>406011</v>
      </c>
      <c r="AO21" s="10">
        <f t="shared" si="13"/>
        <v>997542</v>
      </c>
      <c r="AP21" s="10">
        <f t="shared" si="13"/>
        <v>197922</v>
      </c>
      <c r="AQ21" s="10">
        <f t="shared" si="13"/>
        <v>573959</v>
      </c>
      <c r="AR21" s="10">
        <f t="shared" si="13"/>
        <v>6936939</v>
      </c>
      <c r="AS21" s="10">
        <f t="shared" si="13"/>
        <v>8588320</v>
      </c>
      <c r="AT21" s="10">
        <f t="shared" si="13"/>
        <v>-129282</v>
      </c>
      <c r="AU21" s="10">
        <f t="shared" si="13"/>
        <v>213863</v>
      </c>
      <c r="AV21" s="10">
        <f t="shared" si="13"/>
        <v>101371</v>
      </c>
      <c r="AW21" s="10">
        <f t="shared" si="13"/>
        <v>311857</v>
      </c>
      <c r="AX21" s="10">
        <f t="shared" si="13"/>
        <v>846140</v>
      </c>
      <c r="AY21" s="10">
        <f t="shared" si="13"/>
        <v>1007905</v>
      </c>
      <c r="AZ21" s="10">
        <f t="shared" si="13"/>
        <v>0</v>
      </c>
      <c r="BA21" s="10">
        <f t="shared" si="13"/>
        <v>0</v>
      </c>
      <c r="BB21" s="10">
        <f t="shared" si="13"/>
        <v>15269</v>
      </c>
      <c r="BC21" s="10">
        <f t="shared" si="13"/>
        <v>44967</v>
      </c>
      <c r="BD21" s="10">
        <f t="shared" si="13"/>
        <v>38025</v>
      </c>
      <c r="BE21" s="10">
        <f t="shared" si="13"/>
        <v>113257</v>
      </c>
      <c r="BF21" s="10">
        <f t="shared" si="13"/>
        <v>21071</v>
      </c>
      <c r="BG21" s="10">
        <f t="shared" si="13"/>
        <v>60082</v>
      </c>
      <c r="BH21" s="10">
        <f t="shared" si="13"/>
        <v>26731</v>
      </c>
      <c r="BI21" s="10">
        <f t="shared" si="13"/>
        <v>29972</v>
      </c>
      <c r="BJ21" s="10">
        <f t="shared" si="13"/>
        <v>75960</v>
      </c>
      <c r="BK21" s="10">
        <f t="shared" si="13"/>
        <v>223095</v>
      </c>
      <c r="BL21" s="10">
        <f t="shared" si="13"/>
        <v>77122</v>
      </c>
      <c r="BM21" s="10">
        <f t="shared" si="13"/>
        <v>201164</v>
      </c>
      <c r="BN21" s="10">
        <f t="shared" si="13"/>
        <v>180402</v>
      </c>
      <c r="BO21" s="10">
        <f t="shared" si="13"/>
        <v>642360</v>
      </c>
      <c r="BP21" s="10">
        <f t="shared" si="13"/>
        <v>16184</v>
      </c>
      <c r="BQ21" s="10">
        <f t="shared" si="13"/>
        <v>32586</v>
      </c>
      <c r="BR21" s="84">
        <f t="shared" ref="BR21:BR25" si="14">B21+D21+F21+H21+J21+L21+N21+P21+R21+T21+V21+X21+Z21+AB21+AD21+AF21+AH21+AJ21+AL21+AN21+AP21+AR21+AT21+AV21+AX21+AZ21+BB21+BD21+BF21+BH21+BJ21+BL21+BN21+BP21</f>
        <v>9751101.7699999996</v>
      </c>
      <c r="BS21" s="84">
        <f t="shared" ref="BS21:BS25" si="15">C21+E21+G21+I21+K21+M21+O21+Q21+S21+U21+W21+Y21+AA21+AC21+AE21+AG21+AI21+AK21+AM21+AO21+AQ21+AS21+AU21+AW21+AY21+BA21+BC21+BE21+BG21+BI21+BK21+BM21+BO21+BQ21</f>
        <v>15679945.77</v>
      </c>
    </row>
    <row r="22" spans="1:71" s="8" customFormat="1" x14ac:dyDescent="0.25">
      <c r="A22" s="3" t="s">
        <v>43</v>
      </c>
      <c r="B22" s="11">
        <v>2223</v>
      </c>
      <c r="C22" s="11">
        <v>26079</v>
      </c>
      <c r="D22" s="11">
        <v>44627</v>
      </c>
      <c r="E22" s="11">
        <v>84869</v>
      </c>
      <c r="F22" s="11">
        <v>19428</v>
      </c>
      <c r="G22" s="11">
        <v>37772</v>
      </c>
      <c r="H22" s="11">
        <v>54693</v>
      </c>
      <c r="I22" s="11">
        <v>286034</v>
      </c>
      <c r="J22" s="11">
        <v>87169</v>
      </c>
      <c r="K22" s="11">
        <v>1099095</v>
      </c>
      <c r="L22" s="11">
        <v>302013</v>
      </c>
      <c r="M22" s="11">
        <v>817618</v>
      </c>
      <c r="N22" s="11">
        <v>849154</v>
      </c>
      <c r="O22" s="11">
        <v>1375654</v>
      </c>
      <c r="P22" s="11">
        <v>35938</v>
      </c>
      <c r="Q22" s="11">
        <v>62218</v>
      </c>
      <c r="R22" s="11">
        <v>30485</v>
      </c>
      <c r="S22" s="11">
        <v>85994</v>
      </c>
      <c r="T22" s="11">
        <v>53611.77</v>
      </c>
      <c r="U22" s="11">
        <v>419555.72</v>
      </c>
      <c r="V22" s="11">
        <v>72092</v>
      </c>
      <c r="W22" s="11">
        <v>119911</v>
      </c>
      <c r="X22" s="11">
        <v>5211</v>
      </c>
      <c r="Y22" s="11">
        <v>13413</v>
      </c>
      <c r="Z22" s="11">
        <v>194920</v>
      </c>
      <c r="AA22" s="11">
        <v>462103</v>
      </c>
      <c r="AB22" s="11">
        <v>467716</v>
      </c>
      <c r="AC22" s="11">
        <v>1042672</v>
      </c>
      <c r="AD22" s="11">
        <v>54277</v>
      </c>
      <c r="AE22" s="11">
        <v>92777</v>
      </c>
      <c r="AF22" s="11">
        <v>4242</v>
      </c>
      <c r="AG22" s="11">
        <v>4242</v>
      </c>
      <c r="AH22" s="11">
        <v>91728</v>
      </c>
      <c r="AI22" s="11">
        <v>125248</v>
      </c>
      <c r="AJ22" s="11">
        <v>41669</v>
      </c>
      <c r="AK22" s="11">
        <v>187013</v>
      </c>
      <c r="AL22" s="11">
        <v>41676</v>
      </c>
      <c r="AM22" s="11">
        <v>78002</v>
      </c>
      <c r="AN22" s="11">
        <v>519796</v>
      </c>
      <c r="AO22" s="11">
        <v>1363071</v>
      </c>
      <c r="AP22" s="11">
        <v>210191</v>
      </c>
      <c r="AQ22" s="11">
        <v>589620</v>
      </c>
      <c r="AR22" s="11">
        <v>7127004</v>
      </c>
      <c r="AS22" s="11">
        <v>8988679</v>
      </c>
      <c r="AT22" s="11">
        <v>-136296</v>
      </c>
      <c r="AU22" s="11">
        <v>229406</v>
      </c>
      <c r="AV22" s="11">
        <v>131371</v>
      </c>
      <c r="AW22" s="11">
        <v>461832</v>
      </c>
      <c r="AX22" s="11">
        <v>846167</v>
      </c>
      <c r="AY22" s="11">
        <v>1007936</v>
      </c>
      <c r="AZ22" s="11"/>
      <c r="BA22" s="11"/>
      <c r="BB22" s="11">
        <v>15269</v>
      </c>
      <c r="BC22" s="11">
        <v>44967</v>
      </c>
      <c r="BD22" s="11">
        <v>180441</v>
      </c>
      <c r="BE22" s="11">
        <v>309761</v>
      </c>
      <c r="BF22" s="11">
        <v>130241</v>
      </c>
      <c r="BG22" s="11">
        <v>187798</v>
      </c>
      <c r="BH22" s="11">
        <v>27997</v>
      </c>
      <c r="BI22" s="11">
        <v>31842</v>
      </c>
      <c r="BJ22" s="11">
        <v>75960</v>
      </c>
      <c r="BK22" s="11">
        <v>223095</v>
      </c>
      <c r="BL22" s="11">
        <v>133157</v>
      </c>
      <c r="BM22" s="11">
        <v>425802</v>
      </c>
      <c r="BN22" s="11">
        <v>172424</v>
      </c>
      <c r="BO22" s="11">
        <v>675646</v>
      </c>
      <c r="BP22" s="11">
        <v>16184</v>
      </c>
      <c r="BQ22" s="11">
        <v>32586</v>
      </c>
      <c r="BR22" s="79">
        <f t="shared" si="14"/>
        <v>11902778.77</v>
      </c>
      <c r="BS22" s="79">
        <f t="shared" si="15"/>
        <v>20992310.719999999</v>
      </c>
    </row>
    <row r="23" spans="1:71" s="8" customFormat="1" x14ac:dyDescent="0.25">
      <c r="A23" s="3" t="s">
        <v>281</v>
      </c>
      <c r="B23" s="11">
        <f>B16-B22</f>
        <v>-517316</v>
      </c>
      <c r="C23" s="11">
        <f t="shared" ref="C23:AJ23" si="16">C16-C22</f>
        <v>-1518736</v>
      </c>
      <c r="D23" s="11">
        <f t="shared" si="16"/>
        <v>-505228</v>
      </c>
      <c r="E23" s="11">
        <f t="shared" si="16"/>
        <v>-1831067</v>
      </c>
      <c r="F23" s="11">
        <f t="shared" si="16"/>
        <v>1696350</v>
      </c>
      <c r="G23" s="11">
        <f t="shared" si="16"/>
        <v>1754120</v>
      </c>
      <c r="H23" s="11">
        <f t="shared" si="16"/>
        <v>-303964</v>
      </c>
      <c r="I23" s="11">
        <f t="shared" si="16"/>
        <v>-2869228</v>
      </c>
      <c r="J23" s="11">
        <f t="shared" si="16"/>
        <v>2718800</v>
      </c>
      <c r="K23" s="11">
        <f t="shared" si="16"/>
        <v>9618222</v>
      </c>
      <c r="L23" s="11">
        <f t="shared" si="16"/>
        <v>-533469</v>
      </c>
      <c r="M23" s="11">
        <f t="shared" si="16"/>
        <v>-1432650</v>
      </c>
      <c r="N23" s="11">
        <f t="shared" si="16"/>
        <v>726834</v>
      </c>
      <c r="O23" s="11">
        <f t="shared" si="16"/>
        <v>1714436</v>
      </c>
      <c r="P23" s="11">
        <f t="shared" si="16"/>
        <v>-210210</v>
      </c>
      <c r="Q23" s="11">
        <f t="shared" si="16"/>
        <v>-286777</v>
      </c>
      <c r="R23" s="11">
        <f t="shared" si="16"/>
        <v>-267835</v>
      </c>
      <c r="S23" s="11">
        <f t="shared" si="16"/>
        <v>-570520</v>
      </c>
      <c r="T23" s="11">
        <f t="shared" si="16"/>
        <v>1293737.5</v>
      </c>
      <c r="U23" s="11">
        <f t="shared" si="16"/>
        <v>5616892.3200000003</v>
      </c>
      <c r="V23" s="11">
        <f t="shared" si="16"/>
        <v>662063</v>
      </c>
      <c r="W23" s="11">
        <f t="shared" si="16"/>
        <v>1418094</v>
      </c>
      <c r="X23" s="11">
        <f t="shared" si="16"/>
        <v>-531787</v>
      </c>
      <c r="Y23" s="11">
        <f t="shared" si="16"/>
        <v>-1460919</v>
      </c>
      <c r="Z23" s="11">
        <f t="shared" si="16"/>
        <v>1526971</v>
      </c>
      <c r="AA23" s="11">
        <f t="shared" si="16"/>
        <v>4029687</v>
      </c>
      <c r="AB23" s="11">
        <f t="shared" si="16"/>
        <v>3899225</v>
      </c>
      <c r="AC23" s="11">
        <f t="shared" si="16"/>
        <v>13262493</v>
      </c>
      <c r="AD23" s="11">
        <f t="shared" si="16"/>
        <v>1560410</v>
      </c>
      <c r="AE23" s="11">
        <f t="shared" si="16"/>
        <v>2370354</v>
      </c>
      <c r="AF23" s="11">
        <f t="shared" si="16"/>
        <v>-89692</v>
      </c>
      <c r="AG23" s="11">
        <f t="shared" si="16"/>
        <v>-189712</v>
      </c>
      <c r="AH23" s="11">
        <f t="shared" si="16"/>
        <v>-375223</v>
      </c>
      <c r="AI23" s="11">
        <f t="shared" si="16"/>
        <v>-1221927</v>
      </c>
      <c r="AJ23" s="11">
        <f t="shared" si="16"/>
        <v>43665</v>
      </c>
      <c r="AK23" s="11">
        <f t="shared" ref="AK23:BQ23" si="17">AK16-AK22</f>
        <v>71598</v>
      </c>
      <c r="AL23" s="11">
        <f t="shared" si="17"/>
        <v>-390079</v>
      </c>
      <c r="AM23" s="11">
        <f t="shared" si="17"/>
        <v>-920152</v>
      </c>
      <c r="AN23" s="11">
        <f t="shared" si="17"/>
        <v>-51348</v>
      </c>
      <c r="AO23" s="11">
        <f t="shared" si="17"/>
        <v>-1008091</v>
      </c>
      <c r="AP23" s="11">
        <f t="shared" si="17"/>
        <v>-12340584</v>
      </c>
      <c r="AQ23" s="11">
        <f t="shared" si="17"/>
        <v>-21501757</v>
      </c>
      <c r="AR23" s="11">
        <f t="shared" si="17"/>
        <v>5908055</v>
      </c>
      <c r="AS23" s="11">
        <f t="shared" si="17"/>
        <v>14989535</v>
      </c>
      <c r="AT23" s="11">
        <f t="shared" si="17"/>
        <v>-578434</v>
      </c>
      <c r="AU23" s="11">
        <f t="shared" si="17"/>
        <v>-3883759</v>
      </c>
      <c r="AV23" s="11">
        <f t="shared" si="17"/>
        <v>-78861</v>
      </c>
      <c r="AW23" s="11">
        <f t="shared" si="17"/>
        <v>-377608</v>
      </c>
      <c r="AX23" s="11">
        <f t="shared" si="17"/>
        <v>562554</v>
      </c>
      <c r="AY23" s="11">
        <f t="shared" si="17"/>
        <v>2131890</v>
      </c>
      <c r="AZ23" s="11">
        <f t="shared" si="17"/>
        <v>0</v>
      </c>
      <c r="BA23" s="11">
        <f t="shared" si="17"/>
        <v>0</v>
      </c>
      <c r="BB23" s="11">
        <f t="shared" si="17"/>
        <v>26792</v>
      </c>
      <c r="BC23" s="11">
        <f t="shared" si="17"/>
        <v>327132</v>
      </c>
      <c r="BD23" s="11">
        <f t="shared" si="17"/>
        <v>108216</v>
      </c>
      <c r="BE23" s="11">
        <f t="shared" si="17"/>
        <v>348006</v>
      </c>
      <c r="BF23" s="11">
        <f t="shared" si="17"/>
        <v>1088601</v>
      </c>
      <c r="BG23" s="11">
        <f t="shared" si="17"/>
        <v>3866037</v>
      </c>
      <c r="BH23" s="11">
        <f t="shared" si="17"/>
        <v>2672400</v>
      </c>
      <c r="BI23" s="11">
        <f t="shared" si="17"/>
        <v>7055901</v>
      </c>
      <c r="BJ23" s="11">
        <f t="shared" si="17"/>
        <v>-206122</v>
      </c>
      <c r="BK23" s="11">
        <f t="shared" si="17"/>
        <v>-1731250</v>
      </c>
      <c r="BL23" s="11">
        <f t="shared" si="17"/>
        <v>2001046</v>
      </c>
      <c r="BM23" s="11">
        <f t="shared" si="17"/>
        <v>4055450</v>
      </c>
      <c r="BN23" s="11">
        <f t="shared" si="17"/>
        <v>-2676736</v>
      </c>
      <c r="BO23" s="11">
        <f t="shared" si="17"/>
        <v>-13586275</v>
      </c>
      <c r="BP23" s="11">
        <f t="shared" si="17"/>
        <v>391925</v>
      </c>
      <c r="BQ23" s="11">
        <f t="shared" si="17"/>
        <v>963671</v>
      </c>
      <c r="BR23" s="79">
        <f t="shared" si="14"/>
        <v>7230756.5</v>
      </c>
      <c r="BS23" s="79">
        <f t="shared" si="15"/>
        <v>19203090.32</v>
      </c>
    </row>
    <row r="24" spans="1:71" x14ac:dyDescent="0.25">
      <c r="A24" s="2" t="s">
        <v>283</v>
      </c>
      <c r="B24" s="10"/>
      <c r="C24" s="10"/>
      <c r="D24" s="10"/>
      <c r="E24" s="10"/>
      <c r="F24" s="10">
        <v>441512</v>
      </c>
      <c r="G24" s="10">
        <v>636381</v>
      </c>
      <c r="H24" s="10"/>
      <c r="I24" s="10"/>
      <c r="J24" s="10">
        <v>813010</v>
      </c>
      <c r="K24" s="10">
        <v>2671054</v>
      </c>
      <c r="L24" s="10"/>
      <c r="M24" s="10"/>
      <c r="N24" s="10">
        <v>166700</v>
      </c>
      <c r="O24" s="10">
        <v>834800</v>
      </c>
      <c r="P24" s="10"/>
      <c r="Q24" s="10"/>
      <c r="R24" s="10"/>
      <c r="S24" s="10"/>
      <c r="T24" s="10">
        <f>122175.42+300000+213.96</f>
        <v>422389.38</v>
      </c>
      <c r="U24" s="10">
        <f>1410000+452.34-2751.96</f>
        <v>1407700.3800000001</v>
      </c>
      <c r="V24" s="10">
        <f>328587-71066</f>
        <v>257521</v>
      </c>
      <c r="W24" s="10">
        <f>561921+87461</f>
        <v>649382</v>
      </c>
      <c r="X24" s="10"/>
      <c r="Y24" s="10"/>
      <c r="Z24" s="10">
        <f>391131+26380</f>
        <v>417511</v>
      </c>
      <c r="AA24" s="10">
        <f>1004848+81650</f>
        <v>1086498</v>
      </c>
      <c r="AB24" s="10">
        <f>1436385-478284</f>
        <v>958101</v>
      </c>
      <c r="AC24" s="10">
        <f>4857426-713244</f>
        <v>4144182</v>
      </c>
      <c r="AD24" s="10">
        <f>286800+10500</f>
        <v>297300</v>
      </c>
      <c r="AE24" s="10">
        <f>426700+94800</f>
        <v>521500</v>
      </c>
      <c r="AF24" s="10"/>
      <c r="AG24" s="10"/>
      <c r="AH24" s="10"/>
      <c r="AI24" s="10"/>
      <c r="AJ24" s="10">
        <v>-1101</v>
      </c>
      <c r="AK24" s="10">
        <v>-1102</v>
      </c>
      <c r="AL24" s="10"/>
      <c r="AM24" s="10"/>
      <c r="AN24" s="10"/>
      <c r="AO24" s="10"/>
      <c r="AP24" s="10">
        <v>-616</v>
      </c>
      <c r="AQ24" s="10">
        <v>-616</v>
      </c>
      <c r="AR24" s="10">
        <f>1100536-22814</f>
        <v>1077722</v>
      </c>
      <c r="AS24" s="10">
        <f>2204841-126429</f>
        <v>2078412</v>
      </c>
      <c r="AT24" s="10"/>
      <c r="AU24" s="10"/>
      <c r="AV24" s="10">
        <v>-7675</v>
      </c>
      <c r="AW24" s="10">
        <v>-25000</v>
      </c>
      <c r="AX24" s="10">
        <f>32477+38602</f>
        <v>71079</v>
      </c>
      <c r="AY24" s="10">
        <f>352572+52313-135519</f>
        <v>269366</v>
      </c>
      <c r="AZ24" s="10"/>
      <c r="BA24" s="10"/>
      <c r="BB24" s="10"/>
      <c r="BC24" s="10"/>
      <c r="BD24" s="10">
        <v>24422</v>
      </c>
      <c r="BE24" s="10">
        <v>156927</v>
      </c>
      <c r="BF24" s="10">
        <f>297000-14500</f>
        <v>282500</v>
      </c>
      <c r="BG24" s="10">
        <f>1068900+30800</f>
        <v>1099700</v>
      </c>
      <c r="BH24" s="10">
        <v>636355</v>
      </c>
      <c r="BI24" s="10">
        <v>1801075</v>
      </c>
      <c r="BJ24" s="10"/>
      <c r="BK24" s="10">
        <f>-532498+500195-3754</f>
        <v>-36057</v>
      </c>
      <c r="BL24" s="10">
        <f>642749-48714</f>
        <v>594035</v>
      </c>
      <c r="BM24" s="10">
        <f>955202+148391</f>
        <v>1103593</v>
      </c>
      <c r="BN24" s="10"/>
      <c r="BO24" s="10"/>
      <c r="BP24" s="10">
        <f>97432+5449</f>
        <v>102881</v>
      </c>
      <c r="BQ24" s="10">
        <f>242950-10073</f>
        <v>232877</v>
      </c>
      <c r="BR24" s="84">
        <f t="shared" si="14"/>
        <v>6553646.3799999999</v>
      </c>
      <c r="BS24" s="84">
        <f t="shared" si="15"/>
        <v>18630672.379999999</v>
      </c>
    </row>
    <row r="25" spans="1:71" s="8" customFormat="1" x14ac:dyDescent="0.25">
      <c r="A25" s="3" t="s">
        <v>282</v>
      </c>
      <c r="B25" s="11">
        <f>B23-B24</f>
        <v>-517316</v>
      </c>
      <c r="C25" s="11">
        <f t="shared" ref="C25:AJ25" si="18">C23-C24</f>
        <v>-1518736</v>
      </c>
      <c r="D25" s="11">
        <f t="shared" si="18"/>
        <v>-505228</v>
      </c>
      <c r="E25" s="11">
        <f t="shared" si="18"/>
        <v>-1831067</v>
      </c>
      <c r="F25" s="11">
        <f t="shared" si="18"/>
        <v>1254838</v>
      </c>
      <c r="G25" s="11">
        <f t="shared" si="18"/>
        <v>1117739</v>
      </c>
      <c r="H25" s="11">
        <f t="shared" si="18"/>
        <v>-303964</v>
      </c>
      <c r="I25" s="11">
        <f t="shared" si="18"/>
        <v>-2869228</v>
      </c>
      <c r="J25" s="11">
        <f t="shared" si="18"/>
        <v>1905790</v>
      </c>
      <c r="K25" s="11">
        <f t="shared" si="18"/>
        <v>6947168</v>
      </c>
      <c r="L25" s="11">
        <f t="shared" si="18"/>
        <v>-533469</v>
      </c>
      <c r="M25" s="11">
        <f t="shared" si="18"/>
        <v>-1432650</v>
      </c>
      <c r="N25" s="11">
        <f t="shared" si="18"/>
        <v>560134</v>
      </c>
      <c r="O25" s="11">
        <f t="shared" si="18"/>
        <v>879636</v>
      </c>
      <c r="P25" s="11">
        <f t="shared" si="18"/>
        <v>-210210</v>
      </c>
      <c r="Q25" s="11">
        <f t="shared" si="18"/>
        <v>-286777</v>
      </c>
      <c r="R25" s="11">
        <f t="shared" si="18"/>
        <v>-267835</v>
      </c>
      <c r="S25" s="11">
        <f t="shared" si="18"/>
        <v>-570520</v>
      </c>
      <c r="T25" s="11">
        <f t="shared" si="18"/>
        <v>871348.12</v>
      </c>
      <c r="U25" s="11">
        <f t="shared" si="18"/>
        <v>4209191.9400000004</v>
      </c>
      <c r="V25" s="11">
        <f t="shared" si="18"/>
        <v>404542</v>
      </c>
      <c r="W25" s="11">
        <f t="shared" si="18"/>
        <v>768712</v>
      </c>
      <c r="X25" s="11">
        <f t="shared" si="18"/>
        <v>-531787</v>
      </c>
      <c r="Y25" s="11">
        <f t="shared" si="18"/>
        <v>-1460919</v>
      </c>
      <c r="Z25" s="11">
        <f t="shared" si="18"/>
        <v>1109460</v>
      </c>
      <c r="AA25" s="11">
        <f t="shared" si="18"/>
        <v>2943189</v>
      </c>
      <c r="AB25" s="11">
        <f t="shared" si="18"/>
        <v>2941124</v>
      </c>
      <c r="AC25" s="11">
        <f t="shared" si="18"/>
        <v>9118311</v>
      </c>
      <c r="AD25" s="11">
        <f t="shared" si="18"/>
        <v>1263110</v>
      </c>
      <c r="AE25" s="11">
        <f t="shared" si="18"/>
        <v>1848854</v>
      </c>
      <c r="AF25" s="11">
        <f t="shared" si="18"/>
        <v>-89692</v>
      </c>
      <c r="AG25" s="11">
        <f t="shared" si="18"/>
        <v>-189712</v>
      </c>
      <c r="AH25" s="11">
        <f t="shared" si="18"/>
        <v>-375223</v>
      </c>
      <c r="AI25" s="11">
        <f t="shared" si="18"/>
        <v>-1221927</v>
      </c>
      <c r="AJ25" s="11">
        <f t="shared" si="18"/>
        <v>44766</v>
      </c>
      <c r="AK25" s="11">
        <f t="shared" ref="AK25:BQ25" si="19">AK23-AK24</f>
        <v>72700</v>
      </c>
      <c r="AL25" s="11">
        <f t="shared" si="19"/>
        <v>-390079</v>
      </c>
      <c r="AM25" s="11">
        <f t="shared" si="19"/>
        <v>-920152</v>
      </c>
      <c r="AN25" s="11">
        <f t="shared" si="19"/>
        <v>-51348</v>
      </c>
      <c r="AO25" s="11">
        <f t="shared" si="19"/>
        <v>-1008091</v>
      </c>
      <c r="AP25" s="11">
        <f t="shared" si="19"/>
        <v>-12339968</v>
      </c>
      <c r="AQ25" s="11">
        <f t="shared" si="19"/>
        <v>-21501141</v>
      </c>
      <c r="AR25" s="11">
        <f t="shared" si="19"/>
        <v>4830333</v>
      </c>
      <c r="AS25" s="11">
        <f t="shared" si="19"/>
        <v>12911123</v>
      </c>
      <c r="AT25" s="11">
        <f t="shared" si="19"/>
        <v>-578434</v>
      </c>
      <c r="AU25" s="11">
        <f t="shared" si="19"/>
        <v>-3883759</v>
      </c>
      <c r="AV25" s="11">
        <f t="shared" si="19"/>
        <v>-71186</v>
      </c>
      <c r="AW25" s="11">
        <f t="shared" si="19"/>
        <v>-352608</v>
      </c>
      <c r="AX25" s="11">
        <f t="shared" si="19"/>
        <v>491475</v>
      </c>
      <c r="AY25" s="11">
        <f t="shared" si="19"/>
        <v>1862524</v>
      </c>
      <c r="AZ25" s="11">
        <f t="shared" si="19"/>
        <v>0</v>
      </c>
      <c r="BA25" s="11">
        <f t="shared" si="19"/>
        <v>0</v>
      </c>
      <c r="BB25" s="11">
        <f t="shared" si="19"/>
        <v>26792</v>
      </c>
      <c r="BC25" s="11">
        <f t="shared" si="19"/>
        <v>327132</v>
      </c>
      <c r="BD25" s="11">
        <f t="shared" si="19"/>
        <v>83794</v>
      </c>
      <c r="BE25" s="11">
        <f t="shared" si="19"/>
        <v>191079</v>
      </c>
      <c r="BF25" s="11">
        <f t="shared" si="19"/>
        <v>806101</v>
      </c>
      <c r="BG25" s="11">
        <f t="shared" si="19"/>
        <v>2766337</v>
      </c>
      <c r="BH25" s="11">
        <f t="shared" si="19"/>
        <v>2036045</v>
      </c>
      <c r="BI25" s="11">
        <f t="shared" si="19"/>
        <v>5254826</v>
      </c>
      <c r="BJ25" s="11">
        <f t="shared" si="19"/>
        <v>-206122</v>
      </c>
      <c r="BK25" s="11">
        <f t="shared" si="19"/>
        <v>-1695193</v>
      </c>
      <c r="BL25" s="11">
        <f t="shared" si="19"/>
        <v>1407011</v>
      </c>
      <c r="BM25" s="11">
        <f t="shared" si="19"/>
        <v>2951857</v>
      </c>
      <c r="BN25" s="11">
        <f t="shared" si="19"/>
        <v>-2676736</v>
      </c>
      <c r="BO25" s="11">
        <f t="shared" si="19"/>
        <v>-13586275</v>
      </c>
      <c r="BP25" s="11">
        <f t="shared" si="19"/>
        <v>289044</v>
      </c>
      <c r="BQ25" s="11">
        <f t="shared" si="19"/>
        <v>730794</v>
      </c>
      <c r="BR25" s="79">
        <f t="shared" si="14"/>
        <v>677110.12000000011</v>
      </c>
      <c r="BS25" s="79">
        <f t="shared" si="15"/>
        <v>572417.94000000134</v>
      </c>
    </row>
  </sheetData>
  <mergeCells count="35">
    <mergeCell ref="AT3:AU3"/>
    <mergeCell ref="BD3:BE3"/>
    <mergeCell ref="BF3:BG3"/>
    <mergeCell ref="BR3:BS3"/>
    <mergeCell ref="BJ3:BK3"/>
    <mergeCell ref="BL3:BM3"/>
    <mergeCell ref="BN3:BO3"/>
    <mergeCell ref="BP3:BQ3"/>
    <mergeCell ref="BH3:BI3"/>
    <mergeCell ref="AX3:AY3"/>
    <mergeCell ref="AZ3:BA3"/>
    <mergeCell ref="BB3:BC3"/>
    <mergeCell ref="AV3:AW3"/>
    <mergeCell ref="AJ3:AK3"/>
    <mergeCell ref="AL3:AM3"/>
    <mergeCell ref="AN3:AO3"/>
    <mergeCell ref="AP3:AQ3"/>
    <mergeCell ref="AR3:AS3"/>
    <mergeCell ref="Z3:AA3"/>
    <mergeCell ref="AB3:AC3"/>
    <mergeCell ref="AD3:AE3"/>
    <mergeCell ref="AF3:AG3"/>
    <mergeCell ref="AH3:AI3"/>
    <mergeCell ref="X3:Y3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8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7" customWidth="1"/>
    <col min="2" max="35" width="16" style="7" customWidth="1"/>
    <col min="36" max="36" width="16" style="8" customWidth="1"/>
    <col min="37" max="16384" width="9.140625" style="7"/>
  </cols>
  <sheetData>
    <row r="1" spans="1:36" ht="18.75" x14ac:dyDescent="0.3">
      <c r="A1" s="17" t="s">
        <v>297</v>
      </c>
    </row>
    <row r="2" spans="1:36" x14ac:dyDescent="0.25">
      <c r="A2" s="18" t="s">
        <v>47</v>
      </c>
    </row>
    <row r="3" spans="1:36" x14ac:dyDescent="0.25">
      <c r="A3" s="1" t="s">
        <v>0</v>
      </c>
      <c r="B3" s="38" t="s">
        <v>1</v>
      </c>
      <c r="C3" s="38" t="s">
        <v>2</v>
      </c>
      <c r="D3" s="38" t="s">
        <v>3</v>
      </c>
      <c r="E3" s="38" t="s">
        <v>307</v>
      </c>
      <c r="F3" s="38" t="s">
        <v>5</v>
      </c>
      <c r="G3" s="38" t="s">
        <v>6</v>
      </c>
      <c r="H3" s="38" t="s">
        <v>7</v>
      </c>
      <c r="I3" s="38" t="s">
        <v>8</v>
      </c>
      <c r="J3" s="38" t="s">
        <v>9</v>
      </c>
      <c r="K3" s="38" t="s">
        <v>10</v>
      </c>
      <c r="L3" s="38" t="s">
        <v>11</v>
      </c>
      <c r="M3" s="38" t="s">
        <v>12</v>
      </c>
      <c r="N3" s="38" t="s">
        <v>13</v>
      </c>
      <c r="O3" s="38" t="s">
        <v>14</v>
      </c>
      <c r="P3" s="38" t="s">
        <v>15</v>
      </c>
      <c r="Q3" s="38" t="s">
        <v>16</v>
      </c>
      <c r="R3" s="38" t="s">
        <v>17</v>
      </c>
      <c r="S3" s="38" t="s">
        <v>18</v>
      </c>
      <c r="T3" s="92" t="s">
        <v>296</v>
      </c>
      <c r="U3" s="38" t="s">
        <v>19</v>
      </c>
      <c r="V3" s="38" t="s">
        <v>20</v>
      </c>
      <c r="W3" s="38" t="s">
        <v>21</v>
      </c>
      <c r="X3" s="38" t="s">
        <v>22</v>
      </c>
      <c r="Y3" s="38" t="s">
        <v>23</v>
      </c>
      <c r="Z3" s="38" t="s">
        <v>24</v>
      </c>
      <c r="AA3" s="38" t="s">
        <v>25</v>
      </c>
      <c r="AB3" s="38" t="s">
        <v>26</v>
      </c>
      <c r="AC3" s="38" t="s">
        <v>27</v>
      </c>
      <c r="AD3" s="38" t="s">
        <v>28</v>
      </c>
      <c r="AE3" s="38" t="s">
        <v>29</v>
      </c>
      <c r="AF3" s="38" t="s">
        <v>30</v>
      </c>
      <c r="AG3" s="38" t="s">
        <v>31</v>
      </c>
      <c r="AH3" s="39" t="s">
        <v>32</v>
      </c>
      <c r="AI3" s="38" t="s">
        <v>33</v>
      </c>
      <c r="AJ3" s="82" t="s">
        <v>34</v>
      </c>
    </row>
    <row r="4" spans="1:36" x14ac:dyDescent="0.25">
      <c r="A4" s="3" t="s">
        <v>245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79"/>
    </row>
    <row r="5" spans="1:36" x14ac:dyDescent="0.25">
      <c r="A5" s="26" t="s">
        <v>246</v>
      </c>
      <c r="B5" s="10">
        <v>4460000</v>
      </c>
      <c r="C5" s="10">
        <v>2937339</v>
      </c>
      <c r="D5" s="10">
        <v>2000000</v>
      </c>
      <c r="E5" s="10">
        <v>4056143</v>
      </c>
      <c r="F5" s="10">
        <v>1102273</v>
      </c>
      <c r="G5" s="10">
        <v>18309812</v>
      </c>
      <c r="H5" s="10">
        <v>2988057</v>
      </c>
      <c r="I5" s="10">
        <v>1900500</v>
      </c>
      <c r="J5" s="10">
        <v>2680000</v>
      </c>
      <c r="K5" s="10">
        <v>25000000</v>
      </c>
      <c r="L5" s="10">
        <v>9048037</v>
      </c>
      <c r="M5" s="10">
        <v>7295652</v>
      </c>
      <c r="N5" s="10">
        <v>6058421</v>
      </c>
      <c r="O5" s="10">
        <v>4544360</v>
      </c>
      <c r="P5" s="10">
        <v>2742183</v>
      </c>
      <c r="Q5" s="10">
        <v>3050000</v>
      </c>
      <c r="R5" s="10">
        <v>10859752</v>
      </c>
      <c r="S5" s="10">
        <v>1437500</v>
      </c>
      <c r="T5" s="10">
        <v>6700783</v>
      </c>
      <c r="U5" s="10">
        <v>11120000</v>
      </c>
      <c r="V5" s="10">
        <v>1000000</v>
      </c>
      <c r="W5" s="10">
        <v>8240000</v>
      </c>
      <c r="X5" s="10">
        <v>2000000</v>
      </c>
      <c r="Y5" s="10">
        <v>2070000</v>
      </c>
      <c r="Z5" s="10">
        <v>2515499</v>
      </c>
      <c r="AA5" s="10"/>
      <c r="AB5" s="10">
        <v>7279491</v>
      </c>
      <c r="AC5" s="10">
        <v>4490000</v>
      </c>
      <c r="AD5" s="10">
        <v>2155000</v>
      </c>
      <c r="AE5" s="10">
        <v>2591628</v>
      </c>
      <c r="AF5" s="10">
        <v>4801065</v>
      </c>
      <c r="AG5" s="10">
        <v>9944560</v>
      </c>
      <c r="AH5" s="10">
        <v>1500000</v>
      </c>
      <c r="AI5" s="10">
        <v>3681818</v>
      </c>
      <c r="AJ5" s="80">
        <f>SUM(B5:AI5)</f>
        <v>180559873</v>
      </c>
    </row>
    <row r="6" spans="1:36" x14ac:dyDescent="0.25">
      <c r="A6" s="26" t="s">
        <v>247</v>
      </c>
      <c r="B6" s="10"/>
      <c r="C6" s="10">
        <v>7462661</v>
      </c>
      <c r="D6" s="10">
        <v>38788692</v>
      </c>
      <c r="E6" s="10">
        <v>5557857</v>
      </c>
      <c r="F6" s="10">
        <v>55373666</v>
      </c>
      <c r="G6" s="10">
        <v>1720185</v>
      </c>
      <c r="H6" s="10">
        <v>12426115</v>
      </c>
      <c r="I6" s="10"/>
      <c r="J6" s="10"/>
      <c r="K6" s="10">
        <v>28119974.84</v>
      </c>
      <c r="L6" s="10">
        <v>54950</v>
      </c>
      <c r="M6" s="10">
        <v>408734</v>
      </c>
      <c r="N6" s="10">
        <v>16750118</v>
      </c>
      <c r="O6" s="10">
        <v>53968480</v>
      </c>
      <c r="P6" s="10">
        <v>21642245</v>
      </c>
      <c r="Q6" s="10"/>
      <c r="R6" s="10">
        <v>6483749</v>
      </c>
      <c r="S6" s="10">
        <v>2381367</v>
      </c>
      <c r="T6" s="10">
        <v>3286877</v>
      </c>
      <c r="U6" s="10"/>
      <c r="V6" s="10">
        <v>157390</v>
      </c>
      <c r="W6" s="10">
        <v>163746301</v>
      </c>
      <c r="X6" s="10">
        <v>22746519</v>
      </c>
      <c r="Y6" s="10"/>
      <c r="Z6" s="10">
        <v>15215144</v>
      </c>
      <c r="AA6" s="10"/>
      <c r="AB6" s="10">
        <v>518770</v>
      </c>
      <c r="AC6" s="10">
        <v>7158362</v>
      </c>
      <c r="AD6" s="10">
        <v>18634613</v>
      </c>
      <c r="AE6" s="10">
        <v>16694419</v>
      </c>
      <c r="AF6" s="10">
        <v>9100143</v>
      </c>
      <c r="AG6" s="10">
        <v>15027198</v>
      </c>
      <c r="AH6" s="10">
        <v>14366210</v>
      </c>
      <c r="AI6" s="10">
        <v>5594782</v>
      </c>
      <c r="AJ6" s="80">
        <f t="shared" ref="AJ6:AJ10" si="0">SUM(B6:AI6)</f>
        <v>543385521.84000003</v>
      </c>
    </row>
    <row r="7" spans="1:36" x14ac:dyDescent="0.25">
      <c r="A7" s="26" t="s">
        <v>248</v>
      </c>
      <c r="B7" s="10">
        <v>282</v>
      </c>
      <c r="C7" s="10">
        <v>619</v>
      </c>
      <c r="D7" s="10">
        <v>193774</v>
      </c>
      <c r="E7" s="10">
        <v>899</v>
      </c>
      <c r="F7" s="10">
        <v>1302595</v>
      </c>
      <c r="G7" s="10">
        <f>2851+19637</f>
        <v>22488</v>
      </c>
      <c r="H7" s="10">
        <f>5892+74962</f>
        <v>80854</v>
      </c>
      <c r="I7" s="10">
        <f>269+342</f>
        <v>611</v>
      </c>
      <c r="J7" s="10">
        <v>30701</v>
      </c>
      <c r="K7" s="10">
        <v>3227405.4</v>
      </c>
      <c r="L7" s="10">
        <v>427638</v>
      </c>
      <c r="M7" s="10">
        <v>30438</v>
      </c>
      <c r="N7" s="10">
        <f>-102871-23885</f>
        <v>-126756</v>
      </c>
      <c r="O7" s="10">
        <v>1933992</v>
      </c>
      <c r="P7" s="10">
        <f>-7768-2341</f>
        <v>-10109</v>
      </c>
      <c r="Q7" s="10">
        <f>4617+12566</f>
        <v>17183</v>
      </c>
      <c r="R7" s="10">
        <f>1191+427</f>
        <v>1618</v>
      </c>
      <c r="S7" s="10">
        <f>113+747</f>
        <v>860</v>
      </c>
      <c r="T7" s="10">
        <f>265+270</f>
        <v>535</v>
      </c>
      <c r="U7" s="10">
        <f>1367+986</f>
        <v>2353</v>
      </c>
      <c r="V7" s="10">
        <v>13627215</v>
      </c>
      <c r="W7" s="10">
        <v>181611182</v>
      </c>
      <c r="X7" s="10">
        <v>51353597</v>
      </c>
      <c r="Y7" s="10">
        <f>1009+1944</f>
        <v>2953</v>
      </c>
      <c r="Z7" s="10">
        <f>-77062-477122</f>
        <v>-554184</v>
      </c>
      <c r="AA7" s="10"/>
      <c r="AB7" s="10">
        <f>1826-17749</f>
        <v>-15923</v>
      </c>
      <c r="AC7" s="10">
        <f>-13245+53684</f>
        <v>40439</v>
      </c>
      <c r="AD7" s="10">
        <f>-100597+263</f>
        <v>-100334</v>
      </c>
      <c r="AE7" s="10">
        <v>-52909</v>
      </c>
      <c r="AF7" s="10">
        <v>8583</v>
      </c>
      <c r="AG7" s="10">
        <f>114280+438560</f>
        <v>552840</v>
      </c>
      <c r="AH7" s="10">
        <f>1442590+20751095</f>
        <v>22193685</v>
      </c>
      <c r="AI7" s="10">
        <f>4603+14971</f>
        <v>19574</v>
      </c>
      <c r="AJ7" s="80">
        <f t="shared" si="0"/>
        <v>275824698.39999998</v>
      </c>
    </row>
    <row r="8" spans="1:36" x14ac:dyDescent="0.25">
      <c r="A8" s="26" t="s">
        <v>249</v>
      </c>
      <c r="B8" s="10"/>
      <c r="C8" s="10"/>
      <c r="D8" s="10"/>
      <c r="E8" s="10">
        <v>1540000</v>
      </c>
      <c r="F8" s="10"/>
      <c r="G8" s="10">
        <v>2550000</v>
      </c>
      <c r="H8" s="10">
        <v>1000000</v>
      </c>
      <c r="I8" s="10"/>
      <c r="J8" s="10"/>
      <c r="K8" s="10"/>
      <c r="L8" s="10"/>
      <c r="M8" s="10"/>
      <c r="N8" s="10">
        <v>3500000</v>
      </c>
      <c r="O8" s="10">
        <v>4850000</v>
      </c>
      <c r="P8" s="10"/>
      <c r="Q8" s="10"/>
      <c r="R8" s="10"/>
      <c r="S8" s="10">
        <v>8381</v>
      </c>
      <c r="T8" s="10">
        <v>430000</v>
      </c>
      <c r="U8" s="10"/>
      <c r="V8" s="10">
        <v>8950000</v>
      </c>
      <c r="W8" s="10"/>
      <c r="X8" s="10">
        <v>7500000</v>
      </c>
      <c r="Y8" s="10"/>
      <c r="Z8" s="10">
        <v>2300000</v>
      </c>
      <c r="AA8" s="10"/>
      <c r="AB8" s="10"/>
      <c r="AC8" s="10">
        <v>1000000</v>
      </c>
      <c r="AD8" s="10"/>
      <c r="AE8" s="10"/>
      <c r="AF8" s="10">
        <v>2500000</v>
      </c>
      <c r="AG8" s="10">
        <v>3630000</v>
      </c>
      <c r="AH8" s="10">
        <v>9000000</v>
      </c>
      <c r="AI8" s="10"/>
      <c r="AJ8" s="80">
        <f t="shared" si="0"/>
        <v>48758381</v>
      </c>
    </row>
    <row r="9" spans="1:36" x14ac:dyDescent="0.25">
      <c r="A9" s="26" t="s">
        <v>45</v>
      </c>
      <c r="B9" s="10">
        <f>B10-B8-B7-B6-B5</f>
        <v>0</v>
      </c>
      <c r="C9" s="10">
        <f t="shared" ref="C9:AI9" si="1">C10-C8-C7-C6-C5</f>
        <v>0</v>
      </c>
      <c r="D9" s="10">
        <f t="shared" si="1"/>
        <v>0</v>
      </c>
      <c r="E9" s="10">
        <f t="shared" si="1"/>
        <v>0</v>
      </c>
      <c r="F9" s="10">
        <f t="shared" si="1"/>
        <v>0</v>
      </c>
      <c r="G9" s="10">
        <f t="shared" si="1"/>
        <v>0</v>
      </c>
      <c r="H9" s="10">
        <f t="shared" si="1"/>
        <v>0</v>
      </c>
      <c r="I9" s="10">
        <f t="shared" si="1"/>
        <v>0</v>
      </c>
      <c r="J9" s="10">
        <f t="shared" si="1"/>
        <v>0</v>
      </c>
      <c r="K9" s="10">
        <f t="shared" si="1"/>
        <v>0</v>
      </c>
      <c r="L9" s="10">
        <f t="shared" si="1"/>
        <v>0</v>
      </c>
      <c r="M9" s="10">
        <f t="shared" si="1"/>
        <v>2670118</v>
      </c>
      <c r="N9" s="10">
        <f t="shared" si="1"/>
        <v>0</v>
      </c>
      <c r="O9" s="10">
        <f t="shared" si="1"/>
        <v>2489</v>
      </c>
      <c r="P9" s="10">
        <f t="shared" si="1"/>
        <v>0</v>
      </c>
      <c r="Q9" s="10">
        <f t="shared" si="1"/>
        <v>0</v>
      </c>
      <c r="R9" s="10">
        <f t="shared" si="1"/>
        <v>0</v>
      </c>
      <c r="S9" s="10">
        <f t="shared" si="1"/>
        <v>21262</v>
      </c>
      <c r="T9" s="10">
        <f t="shared" si="1"/>
        <v>-1</v>
      </c>
      <c r="U9" s="10">
        <f t="shared" si="1"/>
        <v>140000</v>
      </c>
      <c r="V9" s="10">
        <f t="shared" si="1"/>
        <v>0</v>
      </c>
      <c r="W9" s="10">
        <f t="shared" si="1"/>
        <v>0</v>
      </c>
      <c r="X9" s="10">
        <f t="shared" si="1"/>
        <v>0</v>
      </c>
      <c r="Y9" s="10">
        <f t="shared" si="1"/>
        <v>0</v>
      </c>
      <c r="Z9" s="10">
        <f t="shared" si="1"/>
        <v>0</v>
      </c>
      <c r="AA9" s="10">
        <f t="shared" si="1"/>
        <v>0</v>
      </c>
      <c r="AB9" s="10">
        <f t="shared" si="1"/>
        <v>0</v>
      </c>
      <c r="AC9" s="10">
        <f t="shared" si="1"/>
        <v>26490</v>
      </c>
      <c r="AD9" s="10">
        <f t="shared" si="1"/>
        <v>0</v>
      </c>
      <c r="AE9" s="10">
        <f t="shared" si="1"/>
        <v>0</v>
      </c>
      <c r="AF9" s="10">
        <f t="shared" si="1"/>
        <v>1498687</v>
      </c>
      <c r="AG9" s="10">
        <f t="shared" si="1"/>
        <v>0</v>
      </c>
      <c r="AH9" s="10">
        <f t="shared" si="1"/>
        <v>0</v>
      </c>
      <c r="AI9" s="10">
        <f t="shared" si="1"/>
        <v>0</v>
      </c>
      <c r="AJ9" s="80">
        <f t="shared" si="0"/>
        <v>4359045</v>
      </c>
    </row>
    <row r="10" spans="1:36" s="8" customFormat="1" x14ac:dyDescent="0.25">
      <c r="A10" s="3" t="s">
        <v>55</v>
      </c>
      <c r="B10" s="11">
        <v>4460282</v>
      </c>
      <c r="C10" s="11">
        <v>10400619</v>
      </c>
      <c r="D10" s="11">
        <v>40982466</v>
      </c>
      <c r="E10" s="11">
        <v>11154899</v>
      </c>
      <c r="F10" s="11">
        <v>57778534</v>
      </c>
      <c r="G10" s="11">
        <v>22602485</v>
      </c>
      <c r="H10" s="11">
        <v>16495026</v>
      </c>
      <c r="I10" s="11">
        <v>1901111</v>
      </c>
      <c r="J10" s="11">
        <v>2710701</v>
      </c>
      <c r="K10" s="11">
        <v>56347380.240000002</v>
      </c>
      <c r="L10" s="11">
        <v>9530625</v>
      </c>
      <c r="M10" s="11">
        <v>10404942</v>
      </c>
      <c r="N10" s="11">
        <v>26181783</v>
      </c>
      <c r="O10" s="11">
        <v>65299321</v>
      </c>
      <c r="P10" s="11">
        <v>24374319</v>
      </c>
      <c r="Q10" s="11">
        <v>3067183</v>
      </c>
      <c r="R10" s="11">
        <v>17345119</v>
      </c>
      <c r="S10" s="11">
        <v>3849370</v>
      </c>
      <c r="T10" s="11">
        <v>10418194</v>
      </c>
      <c r="U10" s="11">
        <v>11262353</v>
      </c>
      <c r="V10" s="11">
        <v>23734605</v>
      </c>
      <c r="W10" s="11">
        <v>353597483</v>
      </c>
      <c r="X10" s="11">
        <v>83600116</v>
      </c>
      <c r="Y10" s="11">
        <v>2072953</v>
      </c>
      <c r="Z10" s="11">
        <v>19476459</v>
      </c>
      <c r="AA10" s="11"/>
      <c r="AB10" s="11">
        <v>7782338</v>
      </c>
      <c r="AC10" s="11">
        <v>12715291</v>
      </c>
      <c r="AD10" s="11">
        <v>20689279</v>
      </c>
      <c r="AE10" s="11">
        <v>19233138</v>
      </c>
      <c r="AF10" s="11">
        <v>17908478</v>
      </c>
      <c r="AG10" s="11">
        <v>29154598</v>
      </c>
      <c r="AH10" s="11">
        <v>47059895</v>
      </c>
      <c r="AI10" s="11">
        <v>9296174</v>
      </c>
      <c r="AJ10" s="79">
        <f t="shared" si="0"/>
        <v>1052887519.24</v>
      </c>
    </row>
    <row r="11" spans="1:36" s="8" customFormat="1" x14ac:dyDescent="0.25">
      <c r="A11" s="3" t="s">
        <v>250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79"/>
    </row>
    <row r="12" spans="1:36" x14ac:dyDescent="0.25">
      <c r="A12" s="26" t="s">
        <v>251</v>
      </c>
      <c r="B12" s="10">
        <v>1617351</v>
      </c>
      <c r="C12" s="10">
        <v>2509978</v>
      </c>
      <c r="D12" s="10"/>
      <c r="E12" s="10">
        <v>2480869</v>
      </c>
      <c r="F12" s="10"/>
      <c r="G12" s="10">
        <v>6299928</v>
      </c>
      <c r="H12" s="10">
        <v>7606031</v>
      </c>
      <c r="I12" s="10">
        <v>445221</v>
      </c>
      <c r="J12" s="10">
        <v>1403063</v>
      </c>
      <c r="K12" s="10"/>
      <c r="L12" s="10"/>
      <c r="M12" s="10">
        <v>6936066</v>
      </c>
      <c r="N12" s="10">
        <v>20538764</v>
      </c>
      <c r="O12" s="10"/>
      <c r="P12" s="10">
        <v>22437316</v>
      </c>
      <c r="Q12" s="10">
        <v>1633122</v>
      </c>
      <c r="R12" s="10">
        <v>6648889</v>
      </c>
      <c r="S12" s="10">
        <v>2787629</v>
      </c>
      <c r="T12" s="10">
        <v>1877636</v>
      </c>
      <c r="U12" s="10">
        <v>3651701</v>
      </c>
      <c r="V12" s="10"/>
      <c r="W12" s="10"/>
      <c r="X12" s="10"/>
      <c r="Y12" s="10">
        <v>1493561</v>
      </c>
      <c r="Z12" s="10">
        <v>14637053</v>
      </c>
      <c r="AA12" s="10"/>
      <c r="AB12" s="10"/>
      <c r="AC12" s="10">
        <v>11104123</v>
      </c>
      <c r="AD12" s="10">
        <v>17872674</v>
      </c>
      <c r="AE12" s="10"/>
      <c r="AF12" s="10"/>
      <c r="AG12" s="10">
        <v>24845187</v>
      </c>
      <c r="AH12" s="10"/>
      <c r="AI12" s="10">
        <v>6976082</v>
      </c>
      <c r="AJ12" s="80">
        <f t="shared" ref="AJ12:AJ28" si="2">SUM(B12:AI12)</f>
        <v>165802244</v>
      </c>
    </row>
    <row r="13" spans="1:36" x14ac:dyDescent="0.25">
      <c r="A13" s="26" t="s">
        <v>252</v>
      </c>
      <c r="B13" s="10">
        <v>2479175</v>
      </c>
      <c r="C13" s="10">
        <v>5174171</v>
      </c>
      <c r="D13" s="10"/>
      <c r="E13" s="10">
        <v>13871274</v>
      </c>
      <c r="F13" s="10"/>
      <c r="G13" s="10">
        <v>43384048</v>
      </c>
      <c r="H13" s="10">
        <v>80096323</v>
      </c>
      <c r="I13" s="10">
        <v>1990791</v>
      </c>
      <c r="J13" s="10">
        <v>1202037</v>
      </c>
      <c r="K13" s="10"/>
      <c r="L13" s="10"/>
      <c r="M13" s="10">
        <v>19254680</v>
      </c>
      <c r="N13" s="10">
        <v>88458019</v>
      </c>
      <c r="O13" s="10"/>
      <c r="P13" s="10">
        <v>74438396</v>
      </c>
      <c r="Q13" s="10">
        <v>4731802</v>
      </c>
      <c r="R13" s="10">
        <v>18506277</v>
      </c>
      <c r="S13" s="10">
        <v>18363648</v>
      </c>
      <c r="T13" s="10">
        <v>3797217</v>
      </c>
      <c r="U13" s="10">
        <v>6457095</v>
      </c>
      <c r="V13" s="10"/>
      <c r="W13" s="10"/>
      <c r="X13" s="10"/>
      <c r="Y13" s="10">
        <v>2877553</v>
      </c>
      <c r="Z13" s="10">
        <v>90624406</v>
      </c>
      <c r="AA13" s="10"/>
      <c r="AB13" s="10"/>
      <c r="AC13" s="10">
        <v>45004582</v>
      </c>
      <c r="AD13" s="10">
        <v>52127123</v>
      </c>
      <c r="AE13" s="10"/>
      <c r="AF13" s="10"/>
      <c r="AG13" s="10">
        <v>95345325</v>
      </c>
      <c r="AH13" s="10"/>
      <c r="AI13" s="10">
        <v>22689793</v>
      </c>
      <c r="AJ13" s="80">
        <f t="shared" si="2"/>
        <v>690873735</v>
      </c>
    </row>
    <row r="14" spans="1:36" s="44" customFormat="1" x14ac:dyDescent="0.25">
      <c r="A14" s="19" t="s">
        <v>253</v>
      </c>
      <c r="B14" s="43">
        <f>B12+B13</f>
        <v>4096526</v>
      </c>
      <c r="C14" s="43">
        <f t="shared" ref="C14:AI14" si="3">C12+C13</f>
        <v>7684149</v>
      </c>
      <c r="D14" s="43">
        <v>80539924</v>
      </c>
      <c r="E14" s="43">
        <f t="shared" si="3"/>
        <v>16352143</v>
      </c>
      <c r="F14" s="43">
        <v>180373981</v>
      </c>
      <c r="G14" s="43">
        <f t="shared" si="3"/>
        <v>49683976</v>
      </c>
      <c r="H14" s="43">
        <f t="shared" si="3"/>
        <v>87702354</v>
      </c>
      <c r="I14" s="43">
        <f t="shared" si="3"/>
        <v>2436012</v>
      </c>
      <c r="J14" s="43">
        <f t="shared" si="3"/>
        <v>2605100</v>
      </c>
      <c r="K14" s="43">
        <v>108236367.72</v>
      </c>
      <c r="L14" s="43">
        <v>42236547</v>
      </c>
      <c r="M14" s="43">
        <f t="shared" si="3"/>
        <v>26190746</v>
      </c>
      <c r="N14" s="43">
        <f t="shared" si="3"/>
        <v>108996783</v>
      </c>
      <c r="O14" s="43">
        <v>248452615</v>
      </c>
      <c r="P14" s="43">
        <f t="shared" si="3"/>
        <v>96875712</v>
      </c>
      <c r="Q14" s="43">
        <f t="shared" si="3"/>
        <v>6364924</v>
      </c>
      <c r="R14" s="43">
        <f t="shared" si="3"/>
        <v>25155166</v>
      </c>
      <c r="S14" s="43">
        <f t="shared" si="3"/>
        <v>21151277</v>
      </c>
      <c r="T14" s="43">
        <f t="shared" si="3"/>
        <v>5674853</v>
      </c>
      <c r="U14" s="43">
        <f t="shared" si="3"/>
        <v>10108796</v>
      </c>
      <c r="V14" s="43">
        <v>226898496</v>
      </c>
      <c r="W14" s="43">
        <v>592210434</v>
      </c>
      <c r="X14" s="43">
        <v>228429185</v>
      </c>
      <c r="Y14" s="43">
        <f t="shared" si="3"/>
        <v>4371114</v>
      </c>
      <c r="Z14" s="43">
        <f t="shared" si="3"/>
        <v>105261459</v>
      </c>
      <c r="AA14" s="43">
        <f t="shared" si="3"/>
        <v>0</v>
      </c>
      <c r="AB14" s="43">
        <v>16317187</v>
      </c>
      <c r="AC14" s="43">
        <f t="shared" si="3"/>
        <v>56108705</v>
      </c>
      <c r="AD14" s="43">
        <f t="shared" si="3"/>
        <v>69999797</v>
      </c>
      <c r="AE14" s="43">
        <v>92626796</v>
      </c>
      <c r="AF14" s="43">
        <v>37743659</v>
      </c>
      <c r="AG14" s="43">
        <f t="shared" si="3"/>
        <v>120190512</v>
      </c>
      <c r="AH14" s="43">
        <v>310256925</v>
      </c>
      <c r="AI14" s="43">
        <f t="shared" si="3"/>
        <v>29665875</v>
      </c>
      <c r="AJ14" s="81">
        <f t="shared" si="2"/>
        <v>3020998095.7200003</v>
      </c>
    </row>
    <row r="15" spans="1:36" x14ac:dyDescent="0.25">
      <c r="A15" s="26" t="s">
        <v>254</v>
      </c>
      <c r="B15" s="10"/>
      <c r="C15" s="10"/>
      <c r="D15" s="10">
        <v>140031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>
        <v>50065</v>
      </c>
      <c r="T15" s="10"/>
      <c r="U15" s="10"/>
      <c r="V15" s="10">
        <v>388321</v>
      </c>
      <c r="W15" s="10">
        <v>3079757</v>
      </c>
      <c r="X15" s="10">
        <v>1482997</v>
      </c>
      <c r="Y15" s="10"/>
      <c r="Z15" s="10"/>
      <c r="AA15" s="10"/>
      <c r="AB15" s="10"/>
      <c r="AC15" s="10"/>
      <c r="AD15" s="10"/>
      <c r="AE15" s="10"/>
      <c r="AF15" s="10"/>
      <c r="AG15" s="10"/>
      <c r="AH15" s="10">
        <v>1716005</v>
      </c>
      <c r="AI15" s="10"/>
      <c r="AJ15" s="80">
        <f t="shared" si="2"/>
        <v>6857176</v>
      </c>
    </row>
    <row r="16" spans="1:36" x14ac:dyDescent="0.25">
      <c r="A16" s="26" t="s">
        <v>255</v>
      </c>
      <c r="B16" s="10">
        <v>81496</v>
      </c>
      <c r="C16" s="10">
        <v>669829</v>
      </c>
      <c r="D16" s="10">
        <v>2690886</v>
      </c>
      <c r="E16" s="10">
        <v>430311</v>
      </c>
      <c r="F16" s="10">
        <v>4200850</v>
      </c>
      <c r="G16" s="10">
        <v>182801</v>
      </c>
      <c r="H16" s="10">
        <v>721474</v>
      </c>
      <c r="I16" s="10">
        <v>554967</v>
      </c>
      <c r="J16" s="10">
        <v>128012</v>
      </c>
      <c r="K16" s="10">
        <v>2804567.86</v>
      </c>
      <c r="L16" s="10">
        <v>189525</v>
      </c>
      <c r="M16" s="10">
        <v>246189</v>
      </c>
      <c r="N16" s="10">
        <v>2300542</v>
      </c>
      <c r="O16" s="10">
        <v>6945919</v>
      </c>
      <c r="P16" s="10">
        <v>660813</v>
      </c>
      <c r="Q16" s="10">
        <v>72436</v>
      </c>
      <c r="R16" s="10">
        <v>312330</v>
      </c>
      <c r="S16" s="10">
        <v>276890</v>
      </c>
      <c r="T16" s="10">
        <v>189661</v>
      </c>
      <c r="U16" s="10">
        <v>361407</v>
      </c>
      <c r="V16" s="10">
        <v>3523540</v>
      </c>
      <c r="W16" s="10">
        <v>4847749</v>
      </c>
      <c r="X16" s="10">
        <v>5755785</v>
      </c>
      <c r="Y16" s="10">
        <v>35674</v>
      </c>
      <c r="Z16" s="10">
        <v>357198</v>
      </c>
      <c r="AA16" s="10"/>
      <c r="AB16" s="10">
        <v>529728</v>
      </c>
      <c r="AC16" s="10">
        <v>257661</v>
      </c>
      <c r="AD16" s="10">
        <v>998966</v>
      </c>
      <c r="AE16" s="10">
        <v>495214</v>
      </c>
      <c r="AF16" s="10">
        <v>946821</v>
      </c>
      <c r="AG16" s="10">
        <v>1970497</v>
      </c>
      <c r="AH16" s="10">
        <v>2577263</v>
      </c>
      <c r="AI16" s="10">
        <v>385571</v>
      </c>
      <c r="AJ16" s="80">
        <f t="shared" si="2"/>
        <v>46702572.859999999</v>
      </c>
    </row>
    <row r="17" spans="1:36" x14ac:dyDescent="0.25">
      <c r="A17" s="26" t="s">
        <v>256</v>
      </c>
      <c r="B17" s="10"/>
      <c r="C17" s="10"/>
      <c r="D17" s="10">
        <v>20886</v>
      </c>
      <c r="E17" s="10">
        <v>149806</v>
      </c>
      <c r="F17" s="10">
        <v>814758</v>
      </c>
      <c r="G17" s="10"/>
      <c r="H17" s="10">
        <v>1485657</v>
      </c>
      <c r="I17" s="10"/>
      <c r="J17" s="10"/>
      <c r="K17" s="10">
        <v>306952.63</v>
      </c>
      <c r="L17" s="10">
        <v>398488</v>
      </c>
      <c r="M17" s="10"/>
      <c r="N17" s="10">
        <v>435988</v>
      </c>
      <c r="O17" s="10">
        <v>3725841</v>
      </c>
      <c r="P17" s="10">
        <v>289800</v>
      </c>
      <c r="Q17" s="10"/>
      <c r="R17" s="10"/>
      <c r="S17" s="10">
        <v>282856</v>
      </c>
      <c r="T17" s="10"/>
      <c r="U17" s="10"/>
      <c r="V17" s="10"/>
      <c r="W17" s="10">
        <v>2292144</v>
      </c>
      <c r="X17" s="10"/>
      <c r="Y17" s="10">
        <v>52936</v>
      </c>
      <c r="Z17" s="10">
        <v>372735</v>
      </c>
      <c r="AA17" s="10"/>
      <c r="AB17" s="10"/>
      <c r="AC17" s="10">
        <v>287253</v>
      </c>
      <c r="AD17" s="10">
        <v>391366</v>
      </c>
      <c r="AE17" s="10">
        <v>153248</v>
      </c>
      <c r="AF17" s="10"/>
      <c r="AG17" s="10">
        <v>197961</v>
      </c>
      <c r="AH17" s="10"/>
      <c r="AI17" s="10">
        <v>3308</v>
      </c>
      <c r="AJ17" s="80">
        <f t="shared" si="2"/>
        <v>11661983.629999999</v>
      </c>
    </row>
    <row r="18" spans="1:36" x14ac:dyDescent="0.25">
      <c r="A18" s="19" t="s">
        <v>257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80"/>
    </row>
    <row r="19" spans="1:36" x14ac:dyDescent="0.25">
      <c r="A19" s="26" t="s">
        <v>258</v>
      </c>
      <c r="B19" s="10">
        <v>64609</v>
      </c>
      <c r="C19" s="10">
        <v>195010</v>
      </c>
      <c r="D19" s="10">
        <v>86478234</v>
      </c>
      <c r="E19" s="10">
        <v>2730392</v>
      </c>
      <c r="F19" s="10">
        <v>6237176</v>
      </c>
      <c r="G19" s="10">
        <v>371402</v>
      </c>
      <c r="H19" s="10">
        <v>448511</v>
      </c>
      <c r="I19" s="10">
        <v>25118</v>
      </c>
      <c r="J19" s="10">
        <v>30645</v>
      </c>
      <c r="K19" s="10">
        <v>10634058.890000001</v>
      </c>
      <c r="L19" s="10">
        <v>576928</v>
      </c>
      <c r="M19" s="10">
        <v>693759</v>
      </c>
      <c r="N19" s="10">
        <v>3085944</v>
      </c>
      <c r="O19" s="10">
        <v>998534</v>
      </c>
      <c r="P19" s="10">
        <v>610793</v>
      </c>
      <c r="Q19" s="10">
        <v>118375</v>
      </c>
      <c r="R19" s="10">
        <v>240600</v>
      </c>
      <c r="S19" s="10">
        <v>229534</v>
      </c>
      <c r="T19" s="10">
        <v>80573</v>
      </c>
      <c r="U19" s="10">
        <v>166581</v>
      </c>
      <c r="V19" s="10">
        <v>6681744</v>
      </c>
      <c r="W19" s="10">
        <v>89060198</v>
      </c>
      <c r="X19" s="10">
        <v>27508869</v>
      </c>
      <c r="Y19" s="10">
        <v>40419</v>
      </c>
      <c r="Z19" s="10">
        <v>1300013</v>
      </c>
      <c r="AA19" s="10"/>
      <c r="AB19" s="10">
        <v>259264</v>
      </c>
      <c r="AC19" s="10">
        <v>624214</v>
      </c>
      <c r="AD19" s="10">
        <v>833204</v>
      </c>
      <c r="AE19" s="10">
        <v>604190</v>
      </c>
      <c r="AF19" s="10">
        <v>3904229</v>
      </c>
      <c r="AG19" s="10">
        <v>2568939</v>
      </c>
      <c r="AH19" s="10">
        <v>6905743</v>
      </c>
      <c r="AI19" s="10">
        <v>1297960</v>
      </c>
      <c r="AJ19" s="80">
        <f t="shared" si="2"/>
        <v>255605762.88999999</v>
      </c>
    </row>
    <row r="20" spans="1:36" x14ac:dyDescent="0.25">
      <c r="A20" s="26" t="s">
        <v>259</v>
      </c>
      <c r="B20" s="10">
        <v>239032</v>
      </c>
      <c r="C20" s="10">
        <v>789860</v>
      </c>
      <c r="D20" s="10">
        <v>55494699</v>
      </c>
      <c r="E20" s="10">
        <v>1872786</v>
      </c>
      <c r="F20" s="10">
        <v>29441226</v>
      </c>
      <c r="G20" s="10">
        <v>8079900</v>
      </c>
      <c r="H20" s="10">
        <v>10971595</v>
      </c>
      <c r="I20" s="10">
        <v>185238</v>
      </c>
      <c r="J20" s="10">
        <v>426510</v>
      </c>
      <c r="K20" s="10">
        <v>9116357.2699999996</v>
      </c>
      <c r="L20" s="10">
        <v>7170569</v>
      </c>
      <c r="M20" s="10">
        <v>2132848</v>
      </c>
      <c r="N20" s="10">
        <v>27082509</v>
      </c>
      <c r="O20" s="10">
        <v>105356456</v>
      </c>
      <c r="P20" s="10">
        <v>23838569</v>
      </c>
      <c r="Q20" s="10">
        <v>413638</v>
      </c>
      <c r="R20" s="10">
        <v>2425529</v>
      </c>
      <c r="S20" s="10">
        <v>1580694</v>
      </c>
      <c r="T20" s="10">
        <v>416857</v>
      </c>
      <c r="U20" s="10">
        <v>1007088</v>
      </c>
      <c r="V20" s="10">
        <v>91383081</v>
      </c>
      <c r="W20" s="10">
        <v>105723609</v>
      </c>
      <c r="X20" s="10">
        <v>64163069</v>
      </c>
      <c r="Y20" s="10">
        <v>309301</v>
      </c>
      <c r="Z20" s="10">
        <v>17820067</v>
      </c>
      <c r="AA20" s="10"/>
      <c r="AB20" s="10">
        <v>1008417</v>
      </c>
      <c r="AC20" s="10">
        <v>10138614</v>
      </c>
      <c r="AD20" s="10">
        <v>16410909</v>
      </c>
      <c r="AE20" s="10">
        <v>5304995</v>
      </c>
      <c r="AF20" s="10">
        <v>9596670</v>
      </c>
      <c r="AG20" s="10">
        <v>11461530</v>
      </c>
      <c r="AH20" s="10">
        <v>47599005</v>
      </c>
      <c r="AI20" s="10">
        <v>6655588</v>
      </c>
      <c r="AJ20" s="80">
        <f t="shared" si="2"/>
        <v>675616815.26999998</v>
      </c>
    </row>
    <row r="21" spans="1:36" s="44" customFormat="1" x14ac:dyDescent="0.25">
      <c r="A21" s="19" t="s">
        <v>260</v>
      </c>
      <c r="B21" s="43">
        <f>B19+B20</f>
        <v>303641</v>
      </c>
      <c r="C21" s="43">
        <f t="shared" ref="C21:AI21" si="4">C19+C20</f>
        <v>984870</v>
      </c>
      <c r="D21" s="43">
        <f t="shared" si="4"/>
        <v>141972933</v>
      </c>
      <c r="E21" s="43">
        <f t="shared" si="4"/>
        <v>4603178</v>
      </c>
      <c r="F21" s="43">
        <f t="shared" si="4"/>
        <v>35678402</v>
      </c>
      <c r="G21" s="43">
        <f t="shared" si="4"/>
        <v>8451302</v>
      </c>
      <c r="H21" s="43">
        <f t="shared" si="4"/>
        <v>11420106</v>
      </c>
      <c r="I21" s="43">
        <f t="shared" si="4"/>
        <v>210356</v>
      </c>
      <c r="J21" s="43">
        <f t="shared" si="4"/>
        <v>457155</v>
      </c>
      <c r="K21" s="43">
        <f t="shared" si="4"/>
        <v>19750416.16</v>
      </c>
      <c r="L21" s="43">
        <f t="shared" si="4"/>
        <v>7747497</v>
      </c>
      <c r="M21" s="43">
        <f t="shared" si="4"/>
        <v>2826607</v>
      </c>
      <c r="N21" s="43">
        <f t="shared" si="4"/>
        <v>30168453</v>
      </c>
      <c r="O21" s="43">
        <f t="shared" si="4"/>
        <v>106354990</v>
      </c>
      <c r="P21" s="43">
        <f t="shared" si="4"/>
        <v>24449362</v>
      </c>
      <c r="Q21" s="43">
        <f t="shared" si="4"/>
        <v>532013</v>
      </c>
      <c r="R21" s="43">
        <f t="shared" si="4"/>
        <v>2666129</v>
      </c>
      <c r="S21" s="43">
        <f t="shared" si="4"/>
        <v>1810228</v>
      </c>
      <c r="T21" s="43">
        <f t="shared" si="4"/>
        <v>497430</v>
      </c>
      <c r="U21" s="43">
        <f t="shared" si="4"/>
        <v>1173669</v>
      </c>
      <c r="V21" s="43">
        <f t="shared" si="4"/>
        <v>98064825</v>
      </c>
      <c r="W21" s="43">
        <f t="shared" si="4"/>
        <v>194783807</v>
      </c>
      <c r="X21" s="43">
        <f t="shared" si="4"/>
        <v>91671938</v>
      </c>
      <c r="Y21" s="43">
        <f t="shared" si="4"/>
        <v>349720</v>
      </c>
      <c r="Z21" s="43">
        <f t="shared" si="4"/>
        <v>19120080</v>
      </c>
      <c r="AA21" s="43">
        <f t="shared" si="4"/>
        <v>0</v>
      </c>
      <c r="AB21" s="43">
        <f t="shared" si="4"/>
        <v>1267681</v>
      </c>
      <c r="AC21" s="43">
        <f t="shared" si="4"/>
        <v>10762828</v>
      </c>
      <c r="AD21" s="43">
        <f t="shared" si="4"/>
        <v>17244113</v>
      </c>
      <c r="AE21" s="43">
        <f t="shared" si="4"/>
        <v>5909185</v>
      </c>
      <c r="AF21" s="43">
        <f t="shared" si="4"/>
        <v>13500899</v>
      </c>
      <c r="AG21" s="43">
        <f t="shared" si="4"/>
        <v>14030469</v>
      </c>
      <c r="AH21" s="43">
        <f t="shared" si="4"/>
        <v>54504748</v>
      </c>
      <c r="AI21" s="43">
        <f t="shared" si="4"/>
        <v>7953548</v>
      </c>
      <c r="AJ21" s="81">
        <f t="shared" si="2"/>
        <v>931222578.15999997</v>
      </c>
    </row>
    <row r="22" spans="1:36" x14ac:dyDescent="0.25">
      <c r="A22" s="26" t="s">
        <v>261</v>
      </c>
      <c r="B22" s="10">
        <v>2340125</v>
      </c>
      <c r="C22" s="10">
        <v>2940805</v>
      </c>
      <c r="D22" s="10">
        <v>173350797</v>
      </c>
      <c r="E22" s="10">
        <v>5912355</v>
      </c>
      <c r="F22" s="10">
        <v>119682491</v>
      </c>
      <c r="G22" s="10">
        <v>40329456</v>
      </c>
      <c r="H22" s="10">
        <v>62365508</v>
      </c>
      <c r="I22" s="10">
        <v>1055419</v>
      </c>
      <c r="J22" s="10">
        <v>1194121</v>
      </c>
      <c r="K22" s="10">
        <v>66673051.020000003</v>
      </c>
      <c r="L22" s="10">
        <v>30046522</v>
      </c>
      <c r="M22" s="10">
        <v>15985198</v>
      </c>
      <c r="N22" s="10">
        <v>86034392</v>
      </c>
      <c r="O22" s="10">
        <v>242411720</v>
      </c>
      <c r="P22" s="10">
        <v>76600933</v>
      </c>
      <c r="Q22" s="10">
        <v>2942767</v>
      </c>
      <c r="R22" s="10">
        <v>14272702</v>
      </c>
      <c r="S22" s="10">
        <v>15478971</v>
      </c>
      <c r="T22" s="10">
        <v>1726138</v>
      </c>
      <c r="U22" s="10">
        <v>3825463</v>
      </c>
      <c r="V22" s="10">
        <v>274087592</v>
      </c>
      <c r="W22" s="10">
        <v>318019843</v>
      </c>
      <c r="X22" s="10">
        <v>192058697</v>
      </c>
      <c r="Y22" s="10">
        <v>2294754</v>
      </c>
      <c r="Z22" s="10">
        <v>88360145</v>
      </c>
      <c r="AA22" s="10"/>
      <c r="AB22" s="10">
        <v>5891165</v>
      </c>
      <c r="AC22" s="10">
        <v>42735392</v>
      </c>
      <c r="AD22" s="10">
        <v>47942662</v>
      </c>
      <c r="AE22" s="10">
        <v>67764937</v>
      </c>
      <c r="AF22" s="10">
        <v>10151644</v>
      </c>
      <c r="AG22" s="10">
        <v>81440355</v>
      </c>
      <c r="AH22" s="10">
        <v>243430119</v>
      </c>
      <c r="AI22" s="10">
        <v>21625815</v>
      </c>
      <c r="AJ22" s="80">
        <f t="shared" si="2"/>
        <v>2360972054.02</v>
      </c>
    </row>
    <row r="23" spans="1:36" x14ac:dyDescent="0.25">
      <c r="A23" s="26" t="s">
        <v>73</v>
      </c>
      <c r="B23" s="10">
        <v>663379</v>
      </c>
      <c r="C23" s="10">
        <v>3244451</v>
      </c>
      <c r="D23" s="10">
        <v>11031397</v>
      </c>
      <c r="E23" s="10">
        <v>9201431</v>
      </c>
      <c r="F23" s="10">
        <v>43606966</v>
      </c>
      <c r="G23" s="10">
        <v>9545270</v>
      </c>
      <c r="H23" s="10">
        <v>22469056</v>
      </c>
      <c r="I23" s="10">
        <v>1051557</v>
      </c>
      <c r="J23" s="10">
        <v>727905</v>
      </c>
      <c r="K23" s="10">
        <v>8077873.1100000003</v>
      </c>
      <c r="L23" s="10">
        <v>10994909</v>
      </c>
      <c r="M23" s="10">
        <v>7804290</v>
      </c>
      <c r="N23" s="10">
        <v>29685591</v>
      </c>
      <c r="O23" s="10">
        <v>57768324</v>
      </c>
      <c r="P23" s="10">
        <v>21300435</v>
      </c>
      <c r="Q23" s="10">
        <v>2270824</v>
      </c>
      <c r="R23" s="10">
        <v>7256836</v>
      </c>
      <c r="S23" s="10">
        <v>4431324</v>
      </c>
      <c r="T23" s="10">
        <v>2678039</v>
      </c>
      <c r="U23" s="10">
        <v>4749580</v>
      </c>
      <c r="V23" s="10">
        <v>52043829</v>
      </c>
      <c r="W23" s="10">
        <v>126730300</v>
      </c>
      <c r="X23" s="10">
        <v>65238962</v>
      </c>
      <c r="Y23" s="10">
        <v>758347</v>
      </c>
      <c r="Z23" s="10">
        <v>17274868</v>
      </c>
      <c r="AA23" s="10"/>
      <c r="AB23" s="10">
        <v>6726080</v>
      </c>
      <c r="AC23" s="10">
        <v>11965764</v>
      </c>
      <c r="AD23" s="10">
        <v>20002301</v>
      </c>
      <c r="AE23" s="10">
        <v>12186368</v>
      </c>
      <c r="AF23" s="10">
        <v>24822724</v>
      </c>
      <c r="AG23" s="10">
        <v>25794486</v>
      </c>
      <c r="AH23" s="10">
        <v>78564928</v>
      </c>
      <c r="AI23" s="10">
        <v>7086313</v>
      </c>
      <c r="AJ23" s="80">
        <f t="shared" si="2"/>
        <v>707754707.11000001</v>
      </c>
    </row>
    <row r="24" spans="1:36" s="44" customFormat="1" x14ac:dyDescent="0.25">
      <c r="A24" s="19" t="s">
        <v>262</v>
      </c>
      <c r="B24" s="43">
        <f>B22+B23</f>
        <v>3003504</v>
      </c>
      <c r="C24" s="43">
        <f t="shared" ref="C24:AI24" si="5">C22+C23</f>
        <v>6185256</v>
      </c>
      <c r="D24" s="43">
        <f t="shared" si="5"/>
        <v>184382194</v>
      </c>
      <c r="E24" s="43">
        <f t="shared" si="5"/>
        <v>15113786</v>
      </c>
      <c r="F24" s="43">
        <f t="shared" si="5"/>
        <v>163289457</v>
      </c>
      <c r="G24" s="43">
        <f t="shared" si="5"/>
        <v>49874726</v>
      </c>
      <c r="H24" s="43">
        <f t="shared" si="5"/>
        <v>84834564</v>
      </c>
      <c r="I24" s="43">
        <f t="shared" si="5"/>
        <v>2106976</v>
      </c>
      <c r="J24" s="43">
        <f t="shared" si="5"/>
        <v>1922026</v>
      </c>
      <c r="K24" s="43">
        <f t="shared" si="5"/>
        <v>74750924.13000001</v>
      </c>
      <c r="L24" s="43">
        <f t="shared" si="5"/>
        <v>41041431</v>
      </c>
      <c r="M24" s="43">
        <f t="shared" si="5"/>
        <v>23789488</v>
      </c>
      <c r="N24" s="43">
        <f t="shared" si="5"/>
        <v>115719983</v>
      </c>
      <c r="O24" s="43">
        <f t="shared" si="5"/>
        <v>300180044</v>
      </c>
      <c r="P24" s="43">
        <f t="shared" si="5"/>
        <v>97901368</v>
      </c>
      <c r="Q24" s="43">
        <f t="shared" si="5"/>
        <v>5213591</v>
      </c>
      <c r="R24" s="43">
        <f t="shared" si="5"/>
        <v>21529538</v>
      </c>
      <c r="S24" s="43">
        <f t="shared" si="5"/>
        <v>19910295</v>
      </c>
      <c r="T24" s="43">
        <f t="shared" si="5"/>
        <v>4404177</v>
      </c>
      <c r="U24" s="43">
        <f t="shared" si="5"/>
        <v>8575043</v>
      </c>
      <c r="V24" s="43">
        <f t="shared" si="5"/>
        <v>326131421</v>
      </c>
      <c r="W24" s="43">
        <f t="shared" si="5"/>
        <v>444750143</v>
      </c>
      <c r="X24" s="43">
        <f t="shared" si="5"/>
        <v>257297659</v>
      </c>
      <c r="Y24" s="43">
        <f t="shared" si="5"/>
        <v>3053101</v>
      </c>
      <c r="Z24" s="43">
        <f t="shared" si="5"/>
        <v>105635013</v>
      </c>
      <c r="AA24" s="43">
        <f t="shared" si="5"/>
        <v>0</v>
      </c>
      <c r="AB24" s="43">
        <f t="shared" si="5"/>
        <v>12617245</v>
      </c>
      <c r="AC24" s="43">
        <f t="shared" si="5"/>
        <v>54701156</v>
      </c>
      <c r="AD24" s="43">
        <f t="shared" si="5"/>
        <v>67944963</v>
      </c>
      <c r="AE24" s="43">
        <f t="shared" si="5"/>
        <v>79951305</v>
      </c>
      <c r="AF24" s="43">
        <f t="shared" si="5"/>
        <v>34974368</v>
      </c>
      <c r="AG24" s="43">
        <f t="shared" si="5"/>
        <v>107234841</v>
      </c>
      <c r="AH24" s="43">
        <f t="shared" si="5"/>
        <v>321995047</v>
      </c>
      <c r="AI24" s="43">
        <f t="shared" si="5"/>
        <v>28712128</v>
      </c>
      <c r="AJ24" s="81">
        <f t="shared" si="2"/>
        <v>3068726761.1300001</v>
      </c>
    </row>
    <row r="25" spans="1:36" s="8" customFormat="1" x14ac:dyDescent="0.25">
      <c r="A25" s="3" t="s">
        <v>263</v>
      </c>
      <c r="B25" s="11">
        <f>B21-B24</f>
        <v>-2699863</v>
      </c>
      <c r="C25" s="11">
        <f t="shared" ref="C25:AI25" si="6">C21-C24</f>
        <v>-5200386</v>
      </c>
      <c r="D25" s="11">
        <f t="shared" si="6"/>
        <v>-42409261</v>
      </c>
      <c r="E25" s="11">
        <f t="shared" si="6"/>
        <v>-10510608</v>
      </c>
      <c r="F25" s="11">
        <f t="shared" si="6"/>
        <v>-127611055</v>
      </c>
      <c r="G25" s="11">
        <f t="shared" si="6"/>
        <v>-41423424</v>
      </c>
      <c r="H25" s="11">
        <f t="shared" si="6"/>
        <v>-73414458</v>
      </c>
      <c r="I25" s="11">
        <f t="shared" si="6"/>
        <v>-1896620</v>
      </c>
      <c r="J25" s="11">
        <f t="shared" si="6"/>
        <v>-1464871</v>
      </c>
      <c r="K25" s="11">
        <f t="shared" si="6"/>
        <v>-55000507.970000014</v>
      </c>
      <c r="L25" s="11">
        <f t="shared" si="6"/>
        <v>-33293934</v>
      </c>
      <c r="M25" s="11">
        <f t="shared" si="6"/>
        <v>-20962881</v>
      </c>
      <c r="N25" s="11">
        <f t="shared" si="6"/>
        <v>-85551530</v>
      </c>
      <c r="O25" s="11">
        <f t="shared" si="6"/>
        <v>-193825054</v>
      </c>
      <c r="P25" s="11">
        <f t="shared" si="6"/>
        <v>-73452006</v>
      </c>
      <c r="Q25" s="11">
        <f t="shared" si="6"/>
        <v>-4681578</v>
      </c>
      <c r="R25" s="11">
        <f t="shared" si="6"/>
        <v>-18863409</v>
      </c>
      <c r="S25" s="11">
        <f t="shared" si="6"/>
        <v>-18100067</v>
      </c>
      <c r="T25" s="11">
        <f t="shared" si="6"/>
        <v>-3906747</v>
      </c>
      <c r="U25" s="11">
        <f t="shared" si="6"/>
        <v>-7401374</v>
      </c>
      <c r="V25" s="11">
        <f t="shared" si="6"/>
        <v>-228066596</v>
      </c>
      <c r="W25" s="11">
        <f t="shared" si="6"/>
        <v>-249966336</v>
      </c>
      <c r="X25" s="11">
        <f t="shared" si="6"/>
        <v>-165625721</v>
      </c>
      <c r="Y25" s="11">
        <f t="shared" si="6"/>
        <v>-2703381</v>
      </c>
      <c r="Z25" s="11">
        <f t="shared" si="6"/>
        <v>-86514933</v>
      </c>
      <c r="AA25" s="11">
        <f t="shared" si="6"/>
        <v>0</v>
      </c>
      <c r="AB25" s="11">
        <f t="shared" si="6"/>
        <v>-11349564</v>
      </c>
      <c r="AC25" s="11">
        <f t="shared" si="6"/>
        <v>-43938328</v>
      </c>
      <c r="AD25" s="11">
        <f t="shared" si="6"/>
        <v>-50700850</v>
      </c>
      <c r="AE25" s="11">
        <f t="shared" si="6"/>
        <v>-74042120</v>
      </c>
      <c r="AF25" s="11">
        <f t="shared" si="6"/>
        <v>-21473469</v>
      </c>
      <c r="AG25" s="11">
        <f t="shared" si="6"/>
        <v>-93204372</v>
      </c>
      <c r="AH25" s="11">
        <f t="shared" si="6"/>
        <v>-267490299</v>
      </c>
      <c r="AI25" s="11">
        <f t="shared" si="6"/>
        <v>-20758580</v>
      </c>
      <c r="AJ25" s="79">
        <f t="shared" si="2"/>
        <v>-2137504182.97</v>
      </c>
    </row>
    <row r="26" spans="1:36" ht="30" x14ac:dyDescent="0.25">
      <c r="A26" s="26" t="s">
        <v>264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>
        <v>1133735</v>
      </c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80">
        <f t="shared" si="2"/>
        <v>1133735</v>
      </c>
    </row>
    <row r="27" spans="1:36" ht="30" x14ac:dyDescent="0.25">
      <c r="A27" s="26" t="s">
        <v>265</v>
      </c>
      <c r="B27" s="10">
        <v>2982123</v>
      </c>
      <c r="C27" s="10">
        <v>7287027</v>
      </c>
      <c r="D27" s="10"/>
      <c r="E27" s="10">
        <v>4733247</v>
      </c>
      <c r="F27" s="10"/>
      <c r="G27" s="10">
        <v>14159132</v>
      </c>
      <c r="H27" s="10"/>
      <c r="I27" s="10">
        <v>806752</v>
      </c>
      <c r="J27" s="10">
        <v>1442460</v>
      </c>
      <c r="K27" s="10"/>
      <c r="L27" s="10"/>
      <c r="M27" s="10">
        <v>4930887</v>
      </c>
      <c r="N27" s="10"/>
      <c r="O27" s="10"/>
      <c r="P27" s="10"/>
      <c r="Q27" s="10">
        <v>1311401</v>
      </c>
      <c r="R27" s="10">
        <v>10741032</v>
      </c>
      <c r="S27" s="10">
        <v>188349</v>
      </c>
      <c r="T27" s="10">
        <v>8460428</v>
      </c>
      <c r="U27" s="10"/>
      <c r="V27" s="10">
        <v>20990844.3360826</v>
      </c>
      <c r="W27" s="10"/>
      <c r="X27" s="10"/>
      <c r="Y27" s="10">
        <v>316611</v>
      </c>
      <c r="Z27" s="10"/>
      <c r="AA27" s="10"/>
      <c r="AB27" s="10">
        <v>2284987</v>
      </c>
      <c r="AC27" s="10"/>
      <c r="AD27" s="10"/>
      <c r="AE27" s="10"/>
      <c r="AF27" s="10">
        <v>691468</v>
      </c>
      <c r="AG27" s="10"/>
      <c r="AH27" s="10"/>
      <c r="AI27" s="10"/>
      <c r="AJ27" s="80">
        <f t="shared" si="2"/>
        <v>81326748.336082608</v>
      </c>
    </row>
    <row r="28" spans="1:36" s="8" customFormat="1" x14ac:dyDescent="0.25">
      <c r="A28" s="3" t="s">
        <v>55</v>
      </c>
      <c r="B28" s="11">
        <v>4460282</v>
      </c>
      <c r="C28" s="11">
        <v>10400619</v>
      </c>
      <c r="D28" s="11">
        <v>40982466</v>
      </c>
      <c r="E28" s="11">
        <v>11154899</v>
      </c>
      <c r="F28" s="11">
        <v>57778534</v>
      </c>
      <c r="G28" s="11">
        <v>22602485</v>
      </c>
      <c r="H28" s="11">
        <v>16495026</v>
      </c>
      <c r="I28" s="11">
        <v>1901111</v>
      </c>
      <c r="J28" s="11">
        <v>2710701</v>
      </c>
      <c r="K28" s="11">
        <v>56347380.240000002</v>
      </c>
      <c r="L28" s="11">
        <v>9530625</v>
      </c>
      <c r="M28" s="11">
        <v>10404942</v>
      </c>
      <c r="N28" s="11">
        <v>26181783</v>
      </c>
      <c r="O28" s="11">
        <v>65299321</v>
      </c>
      <c r="P28" s="11">
        <v>24374319</v>
      </c>
      <c r="Q28" s="11">
        <v>3067183</v>
      </c>
      <c r="R28" s="11">
        <v>17345119</v>
      </c>
      <c r="S28" s="11">
        <v>3849370</v>
      </c>
      <c r="T28" s="11">
        <v>10418194</v>
      </c>
      <c r="U28" s="11">
        <v>11262353</v>
      </c>
      <c r="V28" s="11">
        <v>23734605.3360826</v>
      </c>
      <c r="W28" s="11">
        <v>353597483</v>
      </c>
      <c r="X28" s="11">
        <v>83600116</v>
      </c>
      <c r="Y28" s="11">
        <v>2072953</v>
      </c>
      <c r="Z28" s="11">
        <v>19476459</v>
      </c>
      <c r="AA28" s="11"/>
      <c r="AB28" s="11">
        <v>7782338</v>
      </c>
      <c r="AC28" s="11">
        <v>12715291</v>
      </c>
      <c r="AD28" s="11">
        <v>20689279</v>
      </c>
      <c r="AE28" s="11">
        <v>19233138</v>
      </c>
      <c r="AF28" s="11">
        <v>17908478</v>
      </c>
      <c r="AG28" s="11">
        <v>29154598</v>
      </c>
      <c r="AH28" s="11">
        <v>47059894</v>
      </c>
      <c r="AI28" s="11">
        <v>9296174</v>
      </c>
      <c r="AJ28" s="79">
        <f t="shared" si="2"/>
        <v>1052887518.5760826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33.140625" style="7" customWidth="1"/>
    <col min="2" max="71" width="16" style="7" customWidth="1"/>
    <col min="72" max="16384" width="9.140625" style="7"/>
  </cols>
  <sheetData>
    <row r="1" spans="1:71" ht="18.75" x14ac:dyDescent="0.3">
      <c r="A1" s="5" t="s">
        <v>244</v>
      </c>
    </row>
    <row r="2" spans="1:71" x14ac:dyDescent="0.25">
      <c r="A2" s="18" t="s">
        <v>47</v>
      </c>
    </row>
    <row r="3" spans="1:71" x14ac:dyDescent="0.25">
      <c r="A3" s="33" t="s">
        <v>229</v>
      </c>
    </row>
    <row r="4" spans="1:71" x14ac:dyDescent="0.25">
      <c r="A4" s="1" t="s">
        <v>0</v>
      </c>
      <c r="B4" s="107" t="s">
        <v>1</v>
      </c>
      <c r="C4" s="108"/>
      <c r="D4" s="107" t="s">
        <v>2</v>
      </c>
      <c r="E4" s="108"/>
      <c r="F4" s="107" t="s">
        <v>3</v>
      </c>
      <c r="G4" s="108"/>
      <c r="H4" s="107" t="s">
        <v>307</v>
      </c>
      <c r="I4" s="108"/>
      <c r="J4" s="107" t="s">
        <v>5</v>
      </c>
      <c r="K4" s="108"/>
      <c r="L4" s="107" t="s">
        <v>6</v>
      </c>
      <c r="M4" s="108"/>
      <c r="N4" s="107" t="s">
        <v>7</v>
      </c>
      <c r="O4" s="108"/>
      <c r="P4" s="107" t="s">
        <v>8</v>
      </c>
      <c r="Q4" s="108"/>
      <c r="R4" s="107" t="s">
        <v>9</v>
      </c>
      <c r="S4" s="108"/>
      <c r="T4" s="107" t="s">
        <v>10</v>
      </c>
      <c r="U4" s="108"/>
      <c r="V4" s="107" t="s">
        <v>11</v>
      </c>
      <c r="W4" s="108"/>
      <c r="X4" s="107" t="s">
        <v>12</v>
      </c>
      <c r="Y4" s="108"/>
      <c r="Z4" s="107" t="s">
        <v>13</v>
      </c>
      <c r="AA4" s="108"/>
      <c r="AB4" s="107" t="s">
        <v>14</v>
      </c>
      <c r="AC4" s="108"/>
      <c r="AD4" s="107" t="s">
        <v>15</v>
      </c>
      <c r="AE4" s="108"/>
      <c r="AF4" s="107" t="s">
        <v>16</v>
      </c>
      <c r="AG4" s="108"/>
      <c r="AH4" s="107" t="s">
        <v>17</v>
      </c>
      <c r="AI4" s="108"/>
      <c r="AJ4" s="107" t="s">
        <v>18</v>
      </c>
      <c r="AK4" s="108"/>
      <c r="AL4" s="107" t="s">
        <v>296</v>
      </c>
      <c r="AM4" s="108"/>
      <c r="AN4" s="107" t="s">
        <v>19</v>
      </c>
      <c r="AO4" s="108"/>
      <c r="AP4" s="107" t="s">
        <v>20</v>
      </c>
      <c r="AQ4" s="108"/>
      <c r="AR4" s="107" t="s">
        <v>21</v>
      </c>
      <c r="AS4" s="108"/>
      <c r="AT4" s="107" t="s">
        <v>22</v>
      </c>
      <c r="AU4" s="108"/>
      <c r="AV4" s="107" t="s">
        <v>23</v>
      </c>
      <c r="AW4" s="108"/>
      <c r="AX4" s="107" t="s">
        <v>24</v>
      </c>
      <c r="AY4" s="108"/>
      <c r="AZ4" s="107" t="s">
        <v>25</v>
      </c>
      <c r="BA4" s="108"/>
      <c r="BB4" s="107" t="s">
        <v>26</v>
      </c>
      <c r="BC4" s="108"/>
      <c r="BD4" s="107" t="s">
        <v>27</v>
      </c>
      <c r="BE4" s="108"/>
      <c r="BF4" s="107" t="s">
        <v>28</v>
      </c>
      <c r="BG4" s="108"/>
      <c r="BH4" s="107" t="s">
        <v>29</v>
      </c>
      <c r="BI4" s="108"/>
      <c r="BJ4" s="107" t="s">
        <v>30</v>
      </c>
      <c r="BK4" s="108"/>
      <c r="BL4" s="107" t="s">
        <v>31</v>
      </c>
      <c r="BM4" s="108"/>
      <c r="BN4" s="111" t="s">
        <v>32</v>
      </c>
      <c r="BO4" s="112"/>
      <c r="BP4" s="107" t="s">
        <v>33</v>
      </c>
      <c r="BQ4" s="108"/>
      <c r="BR4" s="109" t="s">
        <v>34</v>
      </c>
      <c r="BS4" s="110"/>
    </row>
    <row r="5" spans="1:71" ht="30" x14ac:dyDescent="0.25">
      <c r="A5" s="1"/>
      <c r="B5" s="66" t="s">
        <v>294</v>
      </c>
      <c r="C5" s="67" t="s">
        <v>295</v>
      </c>
      <c r="D5" s="66" t="s">
        <v>294</v>
      </c>
      <c r="E5" s="67" t="s">
        <v>295</v>
      </c>
      <c r="F5" s="66" t="s">
        <v>294</v>
      </c>
      <c r="G5" s="67" t="s">
        <v>295</v>
      </c>
      <c r="H5" s="66" t="s">
        <v>294</v>
      </c>
      <c r="I5" s="67" t="s">
        <v>295</v>
      </c>
      <c r="J5" s="66" t="s">
        <v>294</v>
      </c>
      <c r="K5" s="67" t="s">
        <v>295</v>
      </c>
      <c r="L5" s="66" t="s">
        <v>294</v>
      </c>
      <c r="M5" s="67" t="s">
        <v>295</v>
      </c>
      <c r="N5" s="66" t="s">
        <v>294</v>
      </c>
      <c r="O5" s="67" t="s">
        <v>295</v>
      </c>
      <c r="P5" s="66" t="s">
        <v>294</v>
      </c>
      <c r="Q5" s="67" t="s">
        <v>295</v>
      </c>
      <c r="R5" s="66" t="s">
        <v>294</v>
      </c>
      <c r="S5" s="67" t="s">
        <v>295</v>
      </c>
      <c r="T5" s="66" t="s">
        <v>294</v>
      </c>
      <c r="U5" s="67" t="s">
        <v>295</v>
      </c>
      <c r="V5" s="66" t="s">
        <v>294</v>
      </c>
      <c r="W5" s="67" t="s">
        <v>295</v>
      </c>
      <c r="X5" s="66" t="s">
        <v>294</v>
      </c>
      <c r="Y5" s="67" t="s">
        <v>295</v>
      </c>
      <c r="Z5" s="66" t="s">
        <v>294</v>
      </c>
      <c r="AA5" s="67" t="s">
        <v>295</v>
      </c>
      <c r="AB5" s="66" t="s">
        <v>294</v>
      </c>
      <c r="AC5" s="67" t="s">
        <v>295</v>
      </c>
      <c r="AD5" s="66" t="s">
        <v>294</v>
      </c>
      <c r="AE5" s="67" t="s">
        <v>295</v>
      </c>
      <c r="AF5" s="66" t="s">
        <v>294</v>
      </c>
      <c r="AG5" s="67" t="s">
        <v>295</v>
      </c>
      <c r="AH5" s="66" t="s">
        <v>294</v>
      </c>
      <c r="AI5" s="67" t="s">
        <v>295</v>
      </c>
      <c r="AJ5" s="66" t="s">
        <v>294</v>
      </c>
      <c r="AK5" s="67" t="s">
        <v>295</v>
      </c>
      <c r="AL5" s="66" t="s">
        <v>294</v>
      </c>
      <c r="AM5" s="67" t="s">
        <v>295</v>
      </c>
      <c r="AN5" s="66" t="s">
        <v>294</v>
      </c>
      <c r="AO5" s="67" t="s">
        <v>295</v>
      </c>
      <c r="AP5" s="66" t="s">
        <v>294</v>
      </c>
      <c r="AQ5" s="67" t="s">
        <v>295</v>
      </c>
      <c r="AR5" s="66" t="s">
        <v>294</v>
      </c>
      <c r="AS5" s="67" t="s">
        <v>295</v>
      </c>
      <c r="AT5" s="66" t="s">
        <v>294</v>
      </c>
      <c r="AU5" s="67" t="s">
        <v>295</v>
      </c>
      <c r="AV5" s="66" t="s">
        <v>294</v>
      </c>
      <c r="AW5" s="67" t="s">
        <v>295</v>
      </c>
      <c r="AX5" s="66" t="s">
        <v>294</v>
      </c>
      <c r="AY5" s="67" t="s">
        <v>295</v>
      </c>
      <c r="AZ5" s="66" t="s">
        <v>294</v>
      </c>
      <c r="BA5" s="67" t="s">
        <v>295</v>
      </c>
      <c r="BB5" s="66" t="s">
        <v>294</v>
      </c>
      <c r="BC5" s="67" t="s">
        <v>295</v>
      </c>
      <c r="BD5" s="66" t="s">
        <v>294</v>
      </c>
      <c r="BE5" s="67" t="s">
        <v>295</v>
      </c>
      <c r="BF5" s="66" t="s">
        <v>294</v>
      </c>
      <c r="BG5" s="67" t="s">
        <v>295</v>
      </c>
      <c r="BH5" s="66" t="s">
        <v>294</v>
      </c>
      <c r="BI5" s="67" t="s">
        <v>295</v>
      </c>
      <c r="BJ5" s="66" t="s">
        <v>294</v>
      </c>
      <c r="BK5" s="67" t="s">
        <v>295</v>
      </c>
      <c r="BL5" s="66" t="s">
        <v>294</v>
      </c>
      <c r="BM5" s="67" t="s">
        <v>295</v>
      </c>
      <c r="BN5" s="66" t="s">
        <v>294</v>
      </c>
      <c r="BO5" s="67" t="s">
        <v>295</v>
      </c>
      <c r="BP5" s="66" t="s">
        <v>294</v>
      </c>
      <c r="BQ5" s="67" t="s">
        <v>295</v>
      </c>
      <c r="BR5" s="66" t="s">
        <v>294</v>
      </c>
      <c r="BS5" s="67" t="s">
        <v>295</v>
      </c>
    </row>
    <row r="6" spans="1:71" x14ac:dyDescent="0.25">
      <c r="A6" s="10" t="s">
        <v>284</v>
      </c>
      <c r="B6" s="10"/>
      <c r="C6" s="10"/>
      <c r="D6" s="10"/>
      <c r="E6" s="10"/>
      <c r="F6" s="10"/>
      <c r="G6" s="10"/>
      <c r="H6" s="10"/>
      <c r="I6" s="10"/>
      <c r="J6" s="10">
        <v>2605724</v>
      </c>
      <c r="K6" s="10">
        <v>8772414</v>
      </c>
      <c r="L6" s="10">
        <v>395155</v>
      </c>
      <c r="M6" s="10">
        <v>1575930</v>
      </c>
      <c r="N6" s="10">
        <v>751258</v>
      </c>
      <c r="O6" s="10">
        <v>2473446</v>
      </c>
      <c r="P6" s="10">
        <v>64660</v>
      </c>
      <c r="Q6" s="10">
        <v>172469</v>
      </c>
      <c r="R6" s="10">
        <v>7805</v>
      </c>
      <c r="S6" s="10">
        <v>20742</v>
      </c>
      <c r="T6" s="10"/>
      <c r="U6" s="10"/>
      <c r="V6" s="10">
        <v>862710</v>
      </c>
      <c r="W6" s="10">
        <v>2617156</v>
      </c>
      <c r="X6" s="10">
        <v>135342</v>
      </c>
      <c r="Y6" s="10">
        <v>244196</v>
      </c>
      <c r="Z6" s="10">
        <v>2067143</v>
      </c>
      <c r="AA6" s="10">
        <v>7694095</v>
      </c>
      <c r="AB6" s="10">
        <v>3538667</v>
      </c>
      <c r="AC6" s="10">
        <v>12068922</v>
      </c>
      <c r="AD6" s="10">
        <v>911637</v>
      </c>
      <c r="AE6" s="10">
        <v>4158059</v>
      </c>
      <c r="AF6" s="10">
        <v>92139</v>
      </c>
      <c r="AG6" s="10">
        <v>244002</v>
      </c>
      <c r="AH6" s="10">
        <v>144768</v>
      </c>
      <c r="AI6" s="10">
        <v>593876</v>
      </c>
      <c r="AJ6" s="10">
        <v>81745</v>
      </c>
      <c r="AK6" s="10">
        <v>463906</v>
      </c>
      <c r="AL6" s="10"/>
      <c r="AM6" s="10"/>
      <c r="AN6" s="10"/>
      <c r="AO6" s="10"/>
      <c r="AP6" s="10">
        <v>1933443.9474317441</v>
      </c>
      <c r="AQ6" s="10">
        <v>7894000.0372941121</v>
      </c>
      <c r="AR6" s="10">
        <v>9459676</v>
      </c>
      <c r="AS6" s="10">
        <v>28745494</v>
      </c>
      <c r="AT6" s="10">
        <v>3149372</v>
      </c>
      <c r="AU6" s="10">
        <v>10993750</v>
      </c>
      <c r="AV6" s="10">
        <v>12184</v>
      </c>
      <c r="AW6" s="10">
        <v>25819</v>
      </c>
      <c r="AX6" s="10">
        <v>1193419</v>
      </c>
      <c r="AY6" s="10">
        <v>5749606</v>
      </c>
      <c r="AZ6" s="10"/>
      <c r="BA6" s="10"/>
      <c r="BB6" s="10"/>
      <c r="BC6" s="10"/>
      <c r="BD6" s="10">
        <v>315706</v>
      </c>
      <c r="BE6" s="10">
        <v>1707845</v>
      </c>
      <c r="BF6" s="10">
        <v>2818835</v>
      </c>
      <c r="BG6" s="10">
        <v>8690641</v>
      </c>
      <c r="BH6" s="10">
        <v>75753</v>
      </c>
      <c r="BI6" s="10">
        <v>246194</v>
      </c>
      <c r="BJ6" s="10"/>
      <c r="BK6" s="10"/>
      <c r="BL6" s="10">
        <v>1806833</v>
      </c>
      <c r="BM6" s="10">
        <v>7410046</v>
      </c>
      <c r="BN6" s="10">
        <v>3183958</v>
      </c>
      <c r="BO6" s="10">
        <v>11607887</v>
      </c>
      <c r="BP6" s="10">
        <v>253459</v>
      </c>
      <c r="BQ6" s="10">
        <v>1432599</v>
      </c>
      <c r="BR6" s="85">
        <f>SUM(B6+D6+F6+H6+J6+L6+N6+P6+R6+T6+V6+X6+Z6+AB6+AD6+AF6+AH6+AJ6+AL6+AN6+AP6+AR6+AT6+AV6+AX6+AZ6+BB6+BD6+BF6+BH6+BJ6+BL6+BN6+BP6)</f>
        <v>35861391.947431743</v>
      </c>
      <c r="BS6" s="85">
        <f>SUM(C6+E6+G6+I6+K6+M6+O6+Q6+S6+U6+W6+Y6+AA6+AC6+AE6+AG6+AI6+AK6+AM6+AO6+AQ6+AS6+AU6+AW6+AY6+BA6+BC6+BE6+BG6+BI6+BK6+BM6+BO6+BQ6)</f>
        <v>125603094.03729412</v>
      </c>
    </row>
    <row r="7" spans="1:71" x14ac:dyDescent="0.25">
      <c r="A7" s="10" t="s">
        <v>287</v>
      </c>
      <c r="B7" s="10"/>
      <c r="C7" s="10"/>
      <c r="D7" s="10"/>
      <c r="E7" s="10"/>
      <c r="F7" s="10"/>
      <c r="G7" s="10"/>
      <c r="H7" s="10"/>
      <c r="I7" s="10"/>
      <c r="J7" s="10">
        <v>59065</v>
      </c>
      <c r="K7" s="10">
        <v>389050</v>
      </c>
      <c r="L7" s="10">
        <v>45568</v>
      </c>
      <c r="M7" s="10">
        <v>180999</v>
      </c>
      <c r="N7" s="10">
        <v>19552</v>
      </c>
      <c r="O7" s="10">
        <v>71419</v>
      </c>
      <c r="P7" s="10">
        <v>1052</v>
      </c>
      <c r="Q7" s="10">
        <v>4063</v>
      </c>
      <c r="R7" s="10">
        <v>12837</v>
      </c>
      <c r="S7" s="10">
        <v>30012</v>
      </c>
      <c r="T7" s="10"/>
      <c r="U7" s="10"/>
      <c r="V7" s="10">
        <v>144968</v>
      </c>
      <c r="W7" s="10">
        <v>604145</v>
      </c>
      <c r="X7" s="10">
        <v>294415</v>
      </c>
      <c r="Y7" s="10">
        <v>1401828</v>
      </c>
      <c r="Z7" s="10">
        <v>151491</v>
      </c>
      <c r="AA7" s="10">
        <v>684185</v>
      </c>
      <c r="AB7" s="10">
        <v>169352</v>
      </c>
      <c r="AC7" s="10">
        <v>581340</v>
      </c>
      <c r="AD7" s="10">
        <v>437603</v>
      </c>
      <c r="AE7" s="10">
        <v>907454</v>
      </c>
      <c r="AF7" s="10">
        <v>5260</v>
      </c>
      <c r="AG7" s="10">
        <v>20317</v>
      </c>
      <c r="AH7" s="10">
        <v>49789</v>
      </c>
      <c r="AI7" s="10">
        <v>191209</v>
      </c>
      <c r="AJ7" s="10">
        <v>267766</v>
      </c>
      <c r="AK7" s="10">
        <v>590371</v>
      </c>
      <c r="AL7" s="10"/>
      <c r="AM7" s="10"/>
      <c r="AN7" s="10"/>
      <c r="AO7" s="10"/>
      <c r="AP7" s="10">
        <v>176258.253148288</v>
      </c>
      <c r="AQ7" s="10">
        <v>1050955.174783736</v>
      </c>
      <c r="AR7" s="10">
        <v>2290472</v>
      </c>
      <c r="AS7" s="10">
        <v>8137986</v>
      </c>
      <c r="AT7" s="10">
        <v>359859</v>
      </c>
      <c r="AU7" s="10">
        <v>1136667</v>
      </c>
      <c r="AV7" s="10">
        <v>3340</v>
      </c>
      <c r="AW7" s="10">
        <v>7751</v>
      </c>
      <c r="AX7" s="10">
        <v>132301</v>
      </c>
      <c r="AY7" s="10">
        <v>399689</v>
      </c>
      <c r="AZ7" s="10"/>
      <c r="BA7" s="10"/>
      <c r="BB7" s="10"/>
      <c r="BC7" s="10"/>
      <c r="BD7" s="10">
        <v>102191</v>
      </c>
      <c r="BE7" s="10">
        <v>368660</v>
      </c>
      <c r="BF7" s="10">
        <v>9741</v>
      </c>
      <c r="BG7" s="10">
        <v>35569</v>
      </c>
      <c r="BH7" s="10">
        <v>9121</v>
      </c>
      <c r="BI7" s="10">
        <v>38207</v>
      </c>
      <c r="BJ7" s="10"/>
      <c r="BK7" s="10"/>
      <c r="BL7" s="10">
        <v>151991</v>
      </c>
      <c r="BM7" s="10">
        <v>743350</v>
      </c>
      <c r="BN7" s="10">
        <v>370359</v>
      </c>
      <c r="BO7" s="10">
        <v>1428166</v>
      </c>
      <c r="BP7" s="10">
        <v>12037</v>
      </c>
      <c r="BQ7" s="10">
        <v>47105</v>
      </c>
      <c r="BR7" s="85">
        <f t="shared" ref="BR7:BR10" si="0">SUM(B7+D7+F7+H7+J7+L7+N7+P7+R7+T7+V7+X7+Z7+AB7+AD7+AF7+AH7+AJ7+AL7+AN7+AP7+AR7+AT7+AV7+AX7+AZ7+BB7+BD7+BF7+BH7+BJ7+BL7+BN7+BP7)</f>
        <v>5276388.2531482875</v>
      </c>
      <c r="BS7" s="85">
        <f t="shared" ref="BS7:BS10" si="1">SUM(C7+E7+G7+I7+K7+M7+O7+Q7+S7+U7+W7+Y7+AA7+AC7+AE7+AG7+AI7+AK7+AM7+AO7+AQ7+AS7+AU7+AW7+AY7+BA7+BC7+BE7+BG7+BI7+BK7+BM7+BO7+BQ7)</f>
        <v>19050497.174783736</v>
      </c>
    </row>
    <row r="8" spans="1:71" x14ac:dyDescent="0.25">
      <c r="A8" s="10" t="s">
        <v>288</v>
      </c>
      <c r="B8" s="10"/>
      <c r="C8" s="10"/>
      <c r="D8" s="10"/>
      <c r="E8" s="10"/>
      <c r="F8" s="10"/>
      <c r="G8" s="10"/>
      <c r="H8" s="10"/>
      <c r="I8" s="10"/>
      <c r="J8" s="10">
        <v>1964631</v>
      </c>
      <c r="K8" s="10">
        <v>8454455</v>
      </c>
      <c r="L8" s="10">
        <v>456244</v>
      </c>
      <c r="M8" s="10">
        <v>1531174</v>
      </c>
      <c r="N8" s="10">
        <v>409200</v>
      </c>
      <c r="O8" s="10">
        <v>1563154</v>
      </c>
      <c r="P8" s="10">
        <v>-37796</v>
      </c>
      <c r="Q8" s="10">
        <v>-102056</v>
      </c>
      <c r="R8" s="10">
        <v>16244</v>
      </c>
      <c r="S8" s="10">
        <v>33595</v>
      </c>
      <c r="T8" s="10"/>
      <c r="U8" s="10"/>
      <c r="V8" s="10">
        <v>703660</v>
      </c>
      <c r="W8" s="10">
        <v>2317068</v>
      </c>
      <c r="X8" s="10">
        <v>370702</v>
      </c>
      <c r="Y8" s="10">
        <v>1452299</v>
      </c>
      <c r="Z8" s="10">
        <v>-1677356</v>
      </c>
      <c r="AA8" s="10">
        <v>-6651933</v>
      </c>
      <c r="AB8" s="10">
        <v>2919346</v>
      </c>
      <c r="AC8" s="10">
        <v>9700543</v>
      </c>
      <c r="AD8" s="10">
        <v>1108059</v>
      </c>
      <c r="AE8" s="10">
        <v>4546337</v>
      </c>
      <c r="AF8" s="10">
        <v>36505</v>
      </c>
      <c r="AG8" s="10">
        <v>95230</v>
      </c>
      <c r="AH8" s="10">
        <v>130455</v>
      </c>
      <c r="AI8" s="10">
        <v>632021</v>
      </c>
      <c r="AJ8" s="10">
        <v>-315831</v>
      </c>
      <c r="AK8" s="10">
        <v>-952940</v>
      </c>
      <c r="AL8" s="10"/>
      <c r="AM8" s="10"/>
      <c r="AN8" s="10"/>
      <c r="AO8" s="10"/>
      <c r="AP8" s="10">
        <v>1429276.2236589701</v>
      </c>
      <c r="AQ8" s="10">
        <v>3918339.648049592</v>
      </c>
      <c r="AR8" s="10">
        <v>5347015</v>
      </c>
      <c r="AS8" s="10">
        <v>16766609</v>
      </c>
      <c r="AT8" s="10">
        <v>1992050</v>
      </c>
      <c r="AU8" s="10">
        <v>6595612</v>
      </c>
      <c r="AV8" s="10">
        <v>12614</v>
      </c>
      <c r="AW8" s="10">
        <v>26543</v>
      </c>
      <c r="AX8" s="10">
        <v>945068</v>
      </c>
      <c r="AY8" s="10">
        <v>5207333</v>
      </c>
      <c r="AZ8" s="10"/>
      <c r="BA8" s="10"/>
      <c r="BB8" s="10"/>
      <c r="BC8" s="10"/>
      <c r="BD8" s="10">
        <v>-341613</v>
      </c>
      <c r="BE8" s="10">
        <v>-1715455</v>
      </c>
      <c r="BF8" s="10">
        <v>2077740</v>
      </c>
      <c r="BG8" s="10">
        <v>6452902</v>
      </c>
      <c r="BH8" s="10">
        <v>44001</v>
      </c>
      <c r="BI8" s="10">
        <v>112421</v>
      </c>
      <c r="BJ8" s="10"/>
      <c r="BK8" s="10"/>
      <c r="BL8" s="10">
        <v>1471810</v>
      </c>
      <c r="BM8" s="10">
        <v>9220832</v>
      </c>
      <c r="BN8" s="10">
        <v>2107083</v>
      </c>
      <c r="BO8" s="10">
        <v>6188054</v>
      </c>
      <c r="BP8" s="10">
        <v>82865</v>
      </c>
      <c r="BQ8" s="10">
        <v>1012714</v>
      </c>
      <c r="BR8" s="85">
        <f t="shared" si="0"/>
        <v>21251972.223658971</v>
      </c>
      <c r="BS8" s="85">
        <f t="shared" si="1"/>
        <v>76404851.648049593</v>
      </c>
    </row>
    <row r="9" spans="1:71" x14ac:dyDescent="0.25">
      <c r="A9" s="10" t="s">
        <v>242</v>
      </c>
      <c r="B9" s="10"/>
      <c r="C9" s="10"/>
      <c r="D9" s="10"/>
      <c r="E9" s="10"/>
      <c r="F9" s="10"/>
      <c r="G9" s="10"/>
      <c r="H9" s="10"/>
      <c r="I9" s="10"/>
      <c r="J9" s="10">
        <v>700158</v>
      </c>
      <c r="K9" s="10">
        <v>707009</v>
      </c>
      <c r="L9" s="10">
        <v>-15522</v>
      </c>
      <c r="M9" s="10">
        <v>225755</v>
      </c>
      <c r="N9" s="10">
        <v>361610</v>
      </c>
      <c r="O9" s="10">
        <v>981711</v>
      </c>
      <c r="P9" s="10">
        <v>27916</v>
      </c>
      <c r="Q9" s="10">
        <v>74476</v>
      </c>
      <c r="R9" s="10">
        <v>4398</v>
      </c>
      <c r="S9" s="10">
        <v>17159</v>
      </c>
      <c r="T9" s="10"/>
      <c r="U9" s="10"/>
      <c r="V9" s="10">
        <v>304018</v>
      </c>
      <c r="W9" s="10">
        <v>904233</v>
      </c>
      <c r="X9" s="10">
        <v>59056</v>
      </c>
      <c r="Y9" s="10">
        <v>193726</v>
      </c>
      <c r="Z9" s="10">
        <v>541278</v>
      </c>
      <c r="AA9" s="10">
        <v>1726347</v>
      </c>
      <c r="AB9" s="10">
        <v>788673</v>
      </c>
      <c r="AC9" s="10">
        <v>2949719</v>
      </c>
      <c r="AD9" s="10">
        <v>241181</v>
      </c>
      <c r="AE9" s="10">
        <v>519176</v>
      </c>
      <c r="AF9" s="10">
        <v>60894</v>
      </c>
      <c r="AG9" s="10">
        <v>169089</v>
      </c>
      <c r="AH9" s="10">
        <v>64102</v>
      </c>
      <c r="AI9" s="10">
        <v>153065</v>
      </c>
      <c r="AJ9" s="10">
        <v>33680</v>
      </c>
      <c r="AK9" s="10">
        <v>101337</v>
      </c>
      <c r="AL9" s="10"/>
      <c r="AM9" s="10"/>
      <c r="AN9" s="10"/>
      <c r="AO9" s="10"/>
      <c r="AP9" s="10">
        <v>680425.97692106199</v>
      </c>
      <c r="AQ9" s="10">
        <v>5026615.5640282566</v>
      </c>
      <c r="AR9" s="10">
        <v>6403134</v>
      </c>
      <c r="AS9" s="10">
        <v>20116871</v>
      </c>
      <c r="AT9" s="10">
        <v>1517181</v>
      </c>
      <c r="AU9" s="10">
        <v>5534805</v>
      </c>
      <c r="AV9" s="10">
        <v>2911</v>
      </c>
      <c r="AW9" s="10">
        <v>7027</v>
      </c>
      <c r="AX9" s="10">
        <v>380652</v>
      </c>
      <c r="AY9" s="10">
        <v>941962</v>
      </c>
      <c r="AZ9" s="10"/>
      <c r="BA9" s="10"/>
      <c r="BB9" s="10"/>
      <c r="BC9" s="10"/>
      <c r="BD9" s="10">
        <v>76284</v>
      </c>
      <c r="BE9" s="10">
        <v>361050</v>
      </c>
      <c r="BF9" s="10">
        <v>750836</v>
      </c>
      <c r="BG9" s="10">
        <v>2273308</v>
      </c>
      <c r="BH9" s="10">
        <v>40874</v>
      </c>
      <c r="BI9" s="10">
        <v>171980</v>
      </c>
      <c r="BJ9" s="10"/>
      <c r="BK9" s="10"/>
      <c r="BL9" s="10">
        <v>487014</v>
      </c>
      <c r="BM9" s="10">
        <v>-1067436</v>
      </c>
      <c r="BN9" s="10">
        <v>1447234</v>
      </c>
      <c r="BO9" s="10">
        <v>6847999</v>
      </c>
      <c r="BP9" s="10">
        <v>182631</v>
      </c>
      <c r="BQ9" s="10">
        <v>466990</v>
      </c>
      <c r="BR9" s="85">
        <f t="shared" si="0"/>
        <v>15140618.976921063</v>
      </c>
      <c r="BS9" s="85">
        <f t="shared" si="1"/>
        <v>49403973.564028256</v>
      </c>
    </row>
    <row r="10" spans="1:71" x14ac:dyDescent="0.25">
      <c r="A10" s="10" t="s">
        <v>243</v>
      </c>
      <c r="B10" s="10"/>
      <c r="C10" s="10"/>
      <c r="D10" s="10"/>
      <c r="E10" s="10"/>
      <c r="F10" s="10"/>
      <c r="G10" s="10"/>
      <c r="H10" s="10"/>
      <c r="I10" s="10"/>
      <c r="J10" s="10">
        <v>681788</v>
      </c>
      <c r="K10" s="10">
        <v>2018694</v>
      </c>
      <c r="L10" s="10">
        <v>80875</v>
      </c>
      <c r="M10" s="10">
        <v>206664</v>
      </c>
      <c r="N10" s="10">
        <v>244109</v>
      </c>
      <c r="O10" s="10">
        <v>711611</v>
      </c>
      <c r="P10" s="10">
        <v>14478</v>
      </c>
      <c r="Q10" s="10">
        <v>281658</v>
      </c>
      <c r="R10" s="10">
        <v>2745</v>
      </c>
      <c r="S10" s="10">
        <v>9743</v>
      </c>
      <c r="T10" s="10"/>
      <c r="U10" s="10"/>
      <c r="V10" s="10">
        <v>229272</v>
      </c>
      <c r="W10" s="10">
        <v>664924</v>
      </c>
      <c r="X10" s="10">
        <v>43675</v>
      </c>
      <c r="Y10" s="10">
        <v>112727</v>
      </c>
      <c r="Z10" s="10">
        <v>398784</v>
      </c>
      <c r="AA10" s="10">
        <v>1061018</v>
      </c>
      <c r="AB10" s="10">
        <v>805270</v>
      </c>
      <c r="AC10" s="10">
        <v>1901511</v>
      </c>
      <c r="AD10" s="10">
        <v>134812</v>
      </c>
      <c r="AE10" s="10">
        <v>410577</v>
      </c>
      <c r="AF10" s="10">
        <v>19359</v>
      </c>
      <c r="AG10" s="10">
        <v>53253</v>
      </c>
      <c r="AH10" s="10">
        <v>26567</v>
      </c>
      <c r="AI10" s="10">
        <v>69881</v>
      </c>
      <c r="AJ10" s="10">
        <v>22883</v>
      </c>
      <c r="AK10" s="10">
        <v>60647</v>
      </c>
      <c r="AL10" s="10"/>
      <c r="AM10" s="10"/>
      <c r="AN10" s="10"/>
      <c r="AO10" s="10"/>
      <c r="AP10" s="10">
        <v>946242.0119210619</v>
      </c>
      <c r="AQ10" s="10">
        <v>4686126.8270282568</v>
      </c>
      <c r="AR10" s="10">
        <v>6730765</v>
      </c>
      <c r="AS10" s="10">
        <v>17762974</v>
      </c>
      <c r="AT10" s="10">
        <v>1404350</v>
      </c>
      <c r="AU10" s="10">
        <v>5144520</v>
      </c>
      <c r="AV10" s="10">
        <v>1739</v>
      </c>
      <c r="AW10" s="10">
        <v>5306</v>
      </c>
      <c r="AX10" s="10">
        <v>422912</v>
      </c>
      <c r="AY10" s="10">
        <v>1129668</v>
      </c>
      <c r="AZ10" s="10"/>
      <c r="BA10" s="10"/>
      <c r="BB10" s="10"/>
      <c r="BC10" s="10"/>
      <c r="BD10" s="10">
        <v>108933</v>
      </c>
      <c r="BE10" s="10">
        <v>277841</v>
      </c>
      <c r="BF10" s="10">
        <v>522741</v>
      </c>
      <c r="BG10" s="10">
        <v>1469695</v>
      </c>
      <c r="BH10" s="10">
        <v>28917</v>
      </c>
      <c r="BI10" s="10">
        <v>121260</v>
      </c>
      <c r="BJ10" s="10"/>
      <c r="BK10" s="10"/>
      <c r="BL10" s="10">
        <v>511948</v>
      </c>
      <c r="BM10" s="10">
        <v>1328536</v>
      </c>
      <c r="BN10" s="10">
        <v>1192950</v>
      </c>
      <c r="BO10" s="10">
        <v>5546600</v>
      </c>
      <c r="BP10" s="10">
        <v>184513</v>
      </c>
      <c r="BQ10" s="10">
        <v>436192</v>
      </c>
      <c r="BR10" s="85">
        <f t="shared" si="0"/>
        <v>14760627.011921063</v>
      </c>
      <c r="BS10" s="85">
        <f t="shared" si="1"/>
        <v>45471626.82702826</v>
      </c>
    </row>
    <row r="12" spans="1:71" x14ac:dyDescent="0.25">
      <c r="A12" s="29" t="s">
        <v>230</v>
      </c>
    </row>
    <row r="13" spans="1:71" x14ac:dyDescent="0.25">
      <c r="A13" s="1" t="s">
        <v>0</v>
      </c>
      <c r="B13" s="107" t="s">
        <v>1</v>
      </c>
      <c r="C13" s="108"/>
      <c r="D13" s="107" t="s">
        <v>2</v>
      </c>
      <c r="E13" s="108"/>
      <c r="F13" s="107" t="s">
        <v>3</v>
      </c>
      <c r="G13" s="108"/>
      <c r="H13" s="107" t="s">
        <v>307</v>
      </c>
      <c r="I13" s="108"/>
      <c r="J13" s="107" t="s">
        <v>5</v>
      </c>
      <c r="K13" s="108"/>
      <c r="L13" s="107" t="s">
        <v>6</v>
      </c>
      <c r="M13" s="108"/>
      <c r="N13" s="107" t="s">
        <v>7</v>
      </c>
      <c r="O13" s="108"/>
      <c r="P13" s="107" t="s">
        <v>8</v>
      </c>
      <c r="Q13" s="108"/>
      <c r="R13" s="107" t="s">
        <v>9</v>
      </c>
      <c r="S13" s="108"/>
      <c r="T13" s="107" t="s">
        <v>10</v>
      </c>
      <c r="U13" s="108"/>
      <c r="V13" s="107" t="s">
        <v>11</v>
      </c>
      <c r="W13" s="108"/>
      <c r="X13" s="107" t="s">
        <v>12</v>
      </c>
      <c r="Y13" s="108"/>
      <c r="Z13" s="107" t="s">
        <v>13</v>
      </c>
      <c r="AA13" s="108"/>
      <c r="AB13" s="107" t="s">
        <v>14</v>
      </c>
      <c r="AC13" s="108"/>
      <c r="AD13" s="107" t="s">
        <v>15</v>
      </c>
      <c r="AE13" s="108"/>
      <c r="AF13" s="107" t="s">
        <v>16</v>
      </c>
      <c r="AG13" s="108"/>
      <c r="AH13" s="107" t="s">
        <v>17</v>
      </c>
      <c r="AI13" s="108"/>
      <c r="AJ13" s="107" t="s">
        <v>18</v>
      </c>
      <c r="AK13" s="108"/>
      <c r="AL13" s="107" t="s">
        <v>296</v>
      </c>
      <c r="AM13" s="108"/>
      <c r="AN13" s="107" t="s">
        <v>19</v>
      </c>
      <c r="AO13" s="108"/>
      <c r="AP13" s="107" t="s">
        <v>20</v>
      </c>
      <c r="AQ13" s="108"/>
      <c r="AR13" s="107" t="s">
        <v>21</v>
      </c>
      <c r="AS13" s="108"/>
      <c r="AT13" s="107" t="s">
        <v>22</v>
      </c>
      <c r="AU13" s="108"/>
      <c r="AV13" s="107" t="s">
        <v>23</v>
      </c>
      <c r="AW13" s="108"/>
      <c r="AX13" s="107" t="s">
        <v>24</v>
      </c>
      <c r="AY13" s="108"/>
      <c r="AZ13" s="107" t="s">
        <v>25</v>
      </c>
      <c r="BA13" s="108"/>
      <c r="BB13" s="107" t="s">
        <v>26</v>
      </c>
      <c r="BC13" s="108"/>
      <c r="BD13" s="107" t="s">
        <v>27</v>
      </c>
      <c r="BE13" s="108"/>
      <c r="BF13" s="107" t="s">
        <v>28</v>
      </c>
      <c r="BG13" s="108"/>
      <c r="BH13" s="107" t="s">
        <v>29</v>
      </c>
      <c r="BI13" s="108"/>
      <c r="BJ13" s="107" t="s">
        <v>30</v>
      </c>
      <c r="BK13" s="108"/>
      <c r="BL13" s="107" t="s">
        <v>31</v>
      </c>
      <c r="BM13" s="108"/>
      <c r="BN13" s="111" t="s">
        <v>32</v>
      </c>
      <c r="BO13" s="112"/>
      <c r="BP13" s="107" t="s">
        <v>33</v>
      </c>
      <c r="BQ13" s="108"/>
      <c r="BR13" s="109" t="s">
        <v>34</v>
      </c>
      <c r="BS13" s="110"/>
    </row>
    <row r="14" spans="1:71" ht="30" x14ac:dyDescent="0.25">
      <c r="A14" s="1"/>
      <c r="B14" s="66" t="s">
        <v>294</v>
      </c>
      <c r="C14" s="67" t="s">
        <v>295</v>
      </c>
      <c r="D14" s="66" t="s">
        <v>294</v>
      </c>
      <c r="E14" s="67" t="s">
        <v>295</v>
      </c>
      <c r="F14" s="66" t="s">
        <v>294</v>
      </c>
      <c r="G14" s="67" t="s">
        <v>295</v>
      </c>
      <c r="H14" s="66" t="s">
        <v>294</v>
      </c>
      <c r="I14" s="67" t="s">
        <v>295</v>
      </c>
      <c r="J14" s="66" t="s">
        <v>294</v>
      </c>
      <c r="K14" s="67" t="s">
        <v>295</v>
      </c>
      <c r="L14" s="66" t="s">
        <v>294</v>
      </c>
      <c r="M14" s="67" t="s">
        <v>295</v>
      </c>
      <c r="N14" s="66" t="s">
        <v>294</v>
      </c>
      <c r="O14" s="67" t="s">
        <v>295</v>
      </c>
      <c r="P14" s="66" t="s">
        <v>294</v>
      </c>
      <c r="Q14" s="67" t="s">
        <v>295</v>
      </c>
      <c r="R14" s="66" t="s">
        <v>294</v>
      </c>
      <c r="S14" s="67" t="s">
        <v>295</v>
      </c>
      <c r="T14" s="66" t="s">
        <v>294</v>
      </c>
      <c r="U14" s="67" t="s">
        <v>295</v>
      </c>
      <c r="V14" s="66" t="s">
        <v>294</v>
      </c>
      <c r="W14" s="67" t="s">
        <v>295</v>
      </c>
      <c r="X14" s="66" t="s">
        <v>294</v>
      </c>
      <c r="Y14" s="67" t="s">
        <v>295</v>
      </c>
      <c r="Z14" s="66" t="s">
        <v>294</v>
      </c>
      <c r="AA14" s="67" t="s">
        <v>295</v>
      </c>
      <c r="AB14" s="66" t="s">
        <v>294</v>
      </c>
      <c r="AC14" s="67" t="s">
        <v>295</v>
      </c>
      <c r="AD14" s="66" t="s">
        <v>294</v>
      </c>
      <c r="AE14" s="67" t="s">
        <v>295</v>
      </c>
      <c r="AF14" s="66" t="s">
        <v>294</v>
      </c>
      <c r="AG14" s="67" t="s">
        <v>295</v>
      </c>
      <c r="AH14" s="66" t="s">
        <v>294</v>
      </c>
      <c r="AI14" s="67" t="s">
        <v>295</v>
      </c>
      <c r="AJ14" s="66" t="s">
        <v>294</v>
      </c>
      <c r="AK14" s="67" t="s">
        <v>295</v>
      </c>
      <c r="AL14" s="66" t="s">
        <v>294</v>
      </c>
      <c r="AM14" s="67" t="s">
        <v>295</v>
      </c>
      <c r="AN14" s="66" t="s">
        <v>294</v>
      </c>
      <c r="AO14" s="67" t="s">
        <v>295</v>
      </c>
      <c r="AP14" s="66" t="s">
        <v>294</v>
      </c>
      <c r="AQ14" s="67" t="s">
        <v>295</v>
      </c>
      <c r="AR14" s="66" t="s">
        <v>294</v>
      </c>
      <c r="AS14" s="67" t="s">
        <v>295</v>
      </c>
      <c r="AT14" s="66" t="s">
        <v>294</v>
      </c>
      <c r="AU14" s="67" t="s">
        <v>295</v>
      </c>
      <c r="AV14" s="66" t="s">
        <v>294</v>
      </c>
      <c r="AW14" s="67" t="s">
        <v>295</v>
      </c>
      <c r="AX14" s="66" t="s">
        <v>294</v>
      </c>
      <c r="AY14" s="67" t="s">
        <v>295</v>
      </c>
      <c r="AZ14" s="66" t="s">
        <v>294</v>
      </c>
      <c r="BA14" s="67" t="s">
        <v>295</v>
      </c>
      <c r="BB14" s="66" t="s">
        <v>294</v>
      </c>
      <c r="BC14" s="67" t="s">
        <v>295</v>
      </c>
      <c r="BD14" s="66" t="s">
        <v>294</v>
      </c>
      <c r="BE14" s="67" t="s">
        <v>295</v>
      </c>
      <c r="BF14" s="66" t="s">
        <v>294</v>
      </c>
      <c r="BG14" s="67" t="s">
        <v>295</v>
      </c>
      <c r="BH14" s="66" t="s">
        <v>294</v>
      </c>
      <c r="BI14" s="67" t="s">
        <v>295</v>
      </c>
      <c r="BJ14" s="66" t="s">
        <v>294</v>
      </c>
      <c r="BK14" s="67" t="s">
        <v>295</v>
      </c>
      <c r="BL14" s="66" t="s">
        <v>294</v>
      </c>
      <c r="BM14" s="67" t="s">
        <v>295</v>
      </c>
      <c r="BN14" s="66" t="s">
        <v>294</v>
      </c>
      <c r="BO14" s="67" t="s">
        <v>295</v>
      </c>
      <c r="BP14" s="66" t="s">
        <v>294</v>
      </c>
      <c r="BQ14" s="67" t="s">
        <v>295</v>
      </c>
      <c r="BR14" s="66" t="s">
        <v>294</v>
      </c>
      <c r="BS14" s="67" t="s">
        <v>295</v>
      </c>
    </row>
    <row r="15" spans="1:71" x14ac:dyDescent="0.25">
      <c r="A15" s="10" t="s">
        <v>284</v>
      </c>
      <c r="B15" s="10"/>
      <c r="C15" s="10"/>
      <c r="D15" s="10"/>
      <c r="E15" s="10"/>
      <c r="F15" s="10"/>
      <c r="G15" s="10"/>
      <c r="H15" s="10"/>
      <c r="I15" s="10"/>
      <c r="J15" s="10">
        <v>367550</v>
      </c>
      <c r="K15" s="10">
        <v>1303197</v>
      </c>
      <c r="L15" s="10">
        <v>190688</v>
      </c>
      <c r="M15" s="10">
        <v>641449</v>
      </c>
      <c r="N15" s="10">
        <v>165237</v>
      </c>
      <c r="O15" s="10">
        <v>614971</v>
      </c>
      <c r="P15" s="10"/>
      <c r="Q15" s="10"/>
      <c r="R15" s="10">
        <v>6556</v>
      </c>
      <c r="S15" s="10">
        <v>9938</v>
      </c>
      <c r="T15" s="10"/>
      <c r="U15" s="10"/>
      <c r="V15" s="10">
        <v>123626</v>
      </c>
      <c r="W15" s="10">
        <v>479608</v>
      </c>
      <c r="X15" s="10">
        <v>3474</v>
      </c>
      <c r="Y15" s="10">
        <v>12391</v>
      </c>
      <c r="Z15" s="10">
        <f>123622+378096</f>
        <v>501718</v>
      </c>
      <c r="AA15" s="10">
        <f>192527+1304180</f>
        <v>1496707</v>
      </c>
      <c r="AB15" s="10">
        <v>1370157</v>
      </c>
      <c r="AC15" s="10">
        <v>3898449</v>
      </c>
      <c r="AD15" s="10">
        <v>393172</v>
      </c>
      <c r="AE15" s="10">
        <v>1358476</v>
      </c>
      <c r="AF15" s="10"/>
      <c r="AG15" s="10"/>
      <c r="AH15" s="10">
        <v>52477</v>
      </c>
      <c r="AI15" s="10">
        <v>213656</v>
      </c>
      <c r="AJ15" s="10">
        <v>22702</v>
      </c>
      <c r="AK15" s="10">
        <v>107752</v>
      </c>
      <c r="AL15" s="10"/>
      <c r="AM15" s="10"/>
      <c r="AN15" s="10"/>
      <c r="AO15" s="10"/>
      <c r="AP15" s="10">
        <v>531801.79566536495</v>
      </c>
      <c r="AQ15" s="10">
        <v>1671937.9974930398</v>
      </c>
      <c r="AR15" s="10">
        <v>1893394</v>
      </c>
      <c r="AS15" s="10">
        <v>5945078</v>
      </c>
      <c r="AT15" s="10">
        <v>1145709</v>
      </c>
      <c r="AU15" s="10">
        <v>2962501</v>
      </c>
      <c r="AV15" s="10"/>
      <c r="AW15" s="10">
        <v>141</v>
      </c>
      <c r="AX15" s="10">
        <v>176222</v>
      </c>
      <c r="AY15" s="10">
        <v>999751</v>
      </c>
      <c r="AZ15" s="10"/>
      <c r="BA15" s="10"/>
      <c r="BB15" s="10"/>
      <c r="BC15" s="10"/>
      <c r="BD15" s="10">
        <v>87086</v>
      </c>
      <c r="BE15" s="10">
        <v>298621</v>
      </c>
      <c r="BF15" s="10">
        <v>63078</v>
      </c>
      <c r="BG15" s="10">
        <v>226359</v>
      </c>
      <c r="BH15" s="10">
        <v>3134</v>
      </c>
      <c r="BI15" s="10">
        <v>12025</v>
      </c>
      <c r="BJ15" s="10"/>
      <c r="BK15" s="10"/>
      <c r="BL15" s="10">
        <v>611410</v>
      </c>
      <c r="BM15" s="10">
        <v>2380887</v>
      </c>
      <c r="BN15" s="10">
        <v>908290</v>
      </c>
      <c r="BO15" s="10">
        <v>2874594</v>
      </c>
      <c r="BP15" s="10">
        <f>66932+25793</f>
        <v>92725</v>
      </c>
      <c r="BQ15" s="10">
        <f>128522+130402</f>
        <v>258924</v>
      </c>
      <c r="BR15" s="85">
        <f t="shared" ref="BR15:BR19" si="2">SUM(B15+D15+F15+H15+J15+L15+N15+P15+R15+T15+V15+X15+Z15+AB15+AD15+AF15+AH15+AJ15+AL15+AN15+AP15+AR15+AT15+AV15+AX15+AZ15+BB15+BD15+BF15+BH15+BJ15+BL15+BN15+BP15)</f>
        <v>8710206.7956653647</v>
      </c>
      <c r="BS15" s="85">
        <f t="shared" ref="BS15:BS19" si="3">SUM(C15+E15+G15+I15+K15+M15+O15+Q15+S15+U15+W15+Y15+AA15+AC15+AE15+AG15+AI15+AK15+AM15+AO15+AQ15+AS15+AU15+AW15+AY15+BA15+BC15+BE15+BG15+BI15+BK15+BM15+BO15+BQ15)</f>
        <v>27767412.99749304</v>
      </c>
    </row>
    <row r="16" spans="1:71" x14ac:dyDescent="0.25">
      <c r="A16" s="10" t="s">
        <v>287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>
        <v>1699</v>
      </c>
      <c r="M16" s="10">
        <v>8381</v>
      </c>
      <c r="N16" s="10"/>
      <c r="O16" s="10"/>
      <c r="P16" s="10"/>
      <c r="Q16" s="10"/>
      <c r="R16" s="10"/>
      <c r="S16" s="10"/>
      <c r="T16" s="10"/>
      <c r="U16" s="10"/>
      <c r="V16" s="10">
        <v>7515</v>
      </c>
      <c r="W16" s="10">
        <v>18748</v>
      </c>
      <c r="X16" s="10">
        <v>0</v>
      </c>
      <c r="Y16" s="10">
        <v>473</v>
      </c>
      <c r="Z16" s="10">
        <v>12308</v>
      </c>
      <c r="AA16" s="10">
        <v>79187</v>
      </c>
      <c r="AB16" s="10">
        <v>19354</v>
      </c>
      <c r="AC16" s="10">
        <v>140042</v>
      </c>
      <c r="AD16" s="10">
        <v>3045</v>
      </c>
      <c r="AE16" s="10">
        <v>12304</v>
      </c>
      <c r="AF16" s="10"/>
      <c r="AG16" s="10"/>
      <c r="AH16" s="10"/>
      <c r="AI16" s="10"/>
      <c r="AJ16" s="10">
        <v>4360</v>
      </c>
      <c r="AK16" s="10">
        <v>25242</v>
      </c>
      <c r="AL16" s="10"/>
      <c r="AM16" s="10"/>
      <c r="AN16" s="10"/>
      <c r="AO16" s="10"/>
      <c r="AP16" s="10">
        <v>27410.85728</v>
      </c>
      <c r="AQ16" s="10">
        <v>118383.69099999999</v>
      </c>
      <c r="AR16" s="10">
        <v>74195</v>
      </c>
      <c r="AS16" s="10">
        <v>359010</v>
      </c>
      <c r="AT16" s="10">
        <v>30602</v>
      </c>
      <c r="AU16" s="10">
        <v>149299</v>
      </c>
      <c r="AV16" s="10"/>
      <c r="AW16" s="10"/>
      <c r="AX16" s="10"/>
      <c r="AY16" s="10"/>
      <c r="AZ16" s="10"/>
      <c r="BA16" s="10"/>
      <c r="BB16" s="10"/>
      <c r="BC16" s="10"/>
      <c r="BD16" s="10">
        <v>2615</v>
      </c>
      <c r="BE16" s="10">
        <v>6301</v>
      </c>
      <c r="BF16" s="10"/>
      <c r="BG16" s="10"/>
      <c r="BH16" s="10"/>
      <c r="BI16" s="10"/>
      <c r="BJ16" s="10"/>
      <c r="BK16" s="10"/>
      <c r="BL16" s="10">
        <v>42144</v>
      </c>
      <c r="BM16" s="10">
        <v>216868</v>
      </c>
      <c r="BN16" s="10">
        <v>31889</v>
      </c>
      <c r="BO16" s="10">
        <v>95068</v>
      </c>
      <c r="BP16" s="10"/>
      <c r="BQ16" s="10"/>
      <c r="BR16" s="85">
        <f t="shared" si="2"/>
        <v>257136.85728</v>
      </c>
      <c r="BS16" s="85">
        <f t="shared" si="3"/>
        <v>1229306.6910000001</v>
      </c>
    </row>
    <row r="17" spans="1:71" x14ac:dyDescent="0.25">
      <c r="A17" s="10" t="s">
        <v>288</v>
      </c>
      <c r="B17" s="10"/>
      <c r="C17" s="10"/>
      <c r="D17" s="10"/>
      <c r="E17" s="10"/>
      <c r="F17" s="10"/>
      <c r="G17" s="10"/>
      <c r="H17" s="10"/>
      <c r="I17" s="10"/>
      <c r="J17" s="10">
        <v>115157</v>
      </c>
      <c r="K17" s="10">
        <v>441262</v>
      </c>
      <c r="L17" s="10">
        <v>70461</v>
      </c>
      <c r="M17" s="10">
        <v>219932</v>
      </c>
      <c r="N17" s="10">
        <v>115137</v>
      </c>
      <c r="O17" s="10">
        <v>445863</v>
      </c>
      <c r="P17" s="10"/>
      <c r="Q17" s="10"/>
      <c r="R17" s="10">
        <v>6506</v>
      </c>
      <c r="S17" s="10">
        <v>10472</v>
      </c>
      <c r="T17" s="10"/>
      <c r="U17" s="10"/>
      <c r="V17" s="10">
        <v>22382</v>
      </c>
      <c r="W17" s="10">
        <v>91611</v>
      </c>
      <c r="X17" s="10">
        <v>3405</v>
      </c>
      <c r="Y17" s="10">
        <v>12570</v>
      </c>
      <c r="Z17" s="10">
        <f>-123001-241633</f>
        <v>-364634</v>
      </c>
      <c r="AA17" s="10">
        <f>-191815-797343</f>
        <v>-989158</v>
      </c>
      <c r="AB17" s="10">
        <v>893162</v>
      </c>
      <c r="AC17" s="10">
        <v>2000673</v>
      </c>
      <c r="AD17" s="10">
        <v>197011</v>
      </c>
      <c r="AE17" s="10">
        <v>729462</v>
      </c>
      <c r="AF17" s="10"/>
      <c r="AG17" s="10"/>
      <c r="AH17" s="10">
        <v>3971</v>
      </c>
      <c r="AI17" s="10">
        <v>45479</v>
      </c>
      <c r="AJ17" s="10">
        <v>-26254</v>
      </c>
      <c r="AK17" s="10">
        <v>-126832</v>
      </c>
      <c r="AL17" s="10"/>
      <c r="AM17" s="10"/>
      <c r="AN17" s="10"/>
      <c r="AO17" s="10"/>
      <c r="AP17" s="10">
        <v>211218.38237018499</v>
      </c>
      <c r="AQ17" s="10">
        <v>686268.25511306396</v>
      </c>
      <c r="AR17" s="10">
        <v>886253</v>
      </c>
      <c r="AS17" s="10">
        <v>2852676</v>
      </c>
      <c r="AT17" s="10">
        <v>673236</v>
      </c>
      <c r="AU17" s="10">
        <v>1488419</v>
      </c>
      <c r="AV17" s="10"/>
      <c r="AW17" s="10">
        <v>29</v>
      </c>
      <c r="AX17" s="10">
        <v>162990</v>
      </c>
      <c r="AY17" s="10">
        <v>872528</v>
      </c>
      <c r="AZ17" s="10"/>
      <c r="BA17" s="10"/>
      <c r="BB17" s="10"/>
      <c r="BC17" s="10"/>
      <c r="BD17" s="10">
        <v>-39945</v>
      </c>
      <c r="BE17" s="10">
        <v>-152034</v>
      </c>
      <c r="BF17" s="10">
        <v>15245</v>
      </c>
      <c r="BG17" s="10">
        <v>63678</v>
      </c>
      <c r="BH17" s="10">
        <v>1082</v>
      </c>
      <c r="BI17" s="10">
        <v>4515</v>
      </c>
      <c r="BJ17" s="10"/>
      <c r="BK17" s="10"/>
      <c r="BL17" s="10">
        <v>79652</v>
      </c>
      <c r="BM17" s="10">
        <v>320397</v>
      </c>
      <c r="BN17" s="10">
        <v>543683</v>
      </c>
      <c r="BO17" s="10">
        <v>1273088</v>
      </c>
      <c r="BP17" s="10">
        <f>65594+14874</f>
        <v>80468</v>
      </c>
      <c r="BQ17" s="10">
        <f>78688+127384</f>
        <v>206072</v>
      </c>
      <c r="BR17" s="85">
        <f t="shared" si="2"/>
        <v>3650186.3823701851</v>
      </c>
      <c r="BS17" s="85">
        <f t="shared" si="3"/>
        <v>10496970.255113063</v>
      </c>
    </row>
    <row r="18" spans="1:71" x14ac:dyDescent="0.25">
      <c r="A18" s="10" t="s">
        <v>242</v>
      </c>
      <c r="B18" s="10"/>
      <c r="C18" s="10"/>
      <c r="D18" s="10"/>
      <c r="E18" s="10"/>
      <c r="F18" s="10"/>
      <c r="G18" s="10"/>
      <c r="H18" s="10"/>
      <c r="I18" s="10"/>
      <c r="J18" s="10">
        <v>252393</v>
      </c>
      <c r="K18" s="10">
        <v>861935</v>
      </c>
      <c r="L18" s="10">
        <v>121926</v>
      </c>
      <c r="M18" s="10">
        <v>429898</v>
      </c>
      <c r="N18" s="10">
        <v>50100</v>
      </c>
      <c r="O18" s="10">
        <v>169108</v>
      </c>
      <c r="P18" s="10"/>
      <c r="Q18" s="10"/>
      <c r="R18" s="10">
        <v>50</v>
      </c>
      <c r="S18" s="10">
        <v>-534</v>
      </c>
      <c r="T18" s="10"/>
      <c r="U18" s="10"/>
      <c r="V18" s="10">
        <v>108760</v>
      </c>
      <c r="W18" s="10">
        <v>406745</v>
      </c>
      <c r="X18" s="10">
        <v>69</v>
      </c>
      <c r="Y18" s="10">
        <v>294</v>
      </c>
      <c r="Z18" s="10">
        <f>621+148770</f>
        <v>149391</v>
      </c>
      <c r="AA18" s="10">
        <f>712+586024</f>
        <v>586736</v>
      </c>
      <c r="AB18" s="10">
        <v>496349</v>
      </c>
      <c r="AC18" s="10">
        <v>2037818</v>
      </c>
      <c r="AD18" s="10">
        <v>199206</v>
      </c>
      <c r="AE18" s="10">
        <v>641318</v>
      </c>
      <c r="AF18" s="10"/>
      <c r="AG18" s="10"/>
      <c r="AH18" s="10">
        <v>48507</v>
      </c>
      <c r="AI18" s="10">
        <v>168177</v>
      </c>
      <c r="AJ18" s="10">
        <v>808</v>
      </c>
      <c r="AK18" s="10">
        <v>6162</v>
      </c>
      <c r="AL18" s="10"/>
      <c r="AM18" s="10"/>
      <c r="AN18" s="10"/>
      <c r="AO18" s="10"/>
      <c r="AP18" s="10">
        <v>347994.27057517989</v>
      </c>
      <c r="AQ18" s="10">
        <v>1104053.4333799761</v>
      </c>
      <c r="AR18" s="10">
        <v>1081336</v>
      </c>
      <c r="AS18" s="10">
        <v>3451412</v>
      </c>
      <c r="AT18" s="10">
        <v>503075</v>
      </c>
      <c r="AU18" s="10">
        <v>1623381</v>
      </c>
      <c r="AV18" s="10"/>
      <c r="AW18" s="10">
        <v>111</v>
      </c>
      <c r="AX18" s="10">
        <v>13232</v>
      </c>
      <c r="AY18" s="10">
        <v>127223</v>
      </c>
      <c r="AZ18" s="10"/>
      <c r="BA18" s="10"/>
      <c r="BB18" s="10"/>
      <c r="BC18" s="10"/>
      <c r="BD18" s="10">
        <v>49756</v>
      </c>
      <c r="BE18" s="10">
        <v>152888</v>
      </c>
      <c r="BF18" s="10">
        <v>47833</v>
      </c>
      <c r="BG18" s="10">
        <v>162681</v>
      </c>
      <c r="BH18" s="10">
        <v>2052</v>
      </c>
      <c r="BI18" s="10">
        <v>7510</v>
      </c>
      <c r="BJ18" s="10"/>
      <c r="BK18" s="10"/>
      <c r="BL18" s="10">
        <v>573902</v>
      </c>
      <c r="BM18" s="10">
        <v>2277358</v>
      </c>
      <c r="BN18" s="10">
        <v>396496</v>
      </c>
      <c r="BO18" s="10">
        <v>1696574</v>
      </c>
      <c r="BP18" s="10">
        <f>1338+10919</f>
        <v>12257</v>
      </c>
      <c r="BQ18" s="10">
        <f>49834+3018</f>
        <v>52852</v>
      </c>
      <c r="BR18" s="85">
        <f t="shared" si="2"/>
        <v>4455492.2705751797</v>
      </c>
      <c r="BS18" s="85">
        <f t="shared" si="3"/>
        <v>15963700.433379976</v>
      </c>
    </row>
    <row r="19" spans="1:71" x14ac:dyDescent="0.25">
      <c r="A19" s="10" t="s">
        <v>243</v>
      </c>
      <c r="B19" s="10"/>
      <c r="C19" s="10"/>
      <c r="D19" s="10"/>
      <c r="E19" s="10"/>
      <c r="F19" s="10"/>
      <c r="G19" s="10"/>
      <c r="H19" s="10"/>
      <c r="I19" s="10"/>
      <c r="J19" s="10">
        <v>322442</v>
      </c>
      <c r="K19" s="10">
        <v>865043</v>
      </c>
      <c r="L19" s="10">
        <v>161181</v>
      </c>
      <c r="M19" s="10">
        <v>365259</v>
      </c>
      <c r="N19" s="10">
        <v>51885</v>
      </c>
      <c r="O19" s="10">
        <v>141774</v>
      </c>
      <c r="P19" s="10"/>
      <c r="Q19" s="10"/>
      <c r="R19" s="10">
        <v>-560</v>
      </c>
      <c r="S19" s="10">
        <v>-1611</v>
      </c>
      <c r="T19" s="10"/>
      <c r="U19" s="10"/>
      <c r="V19" s="10">
        <v>129688</v>
      </c>
      <c r="W19" s="10">
        <v>383327</v>
      </c>
      <c r="X19" s="10">
        <v>124</v>
      </c>
      <c r="Y19" s="10">
        <v>272</v>
      </c>
      <c r="Z19" s="10">
        <f>847+181595</f>
        <v>182442</v>
      </c>
      <c r="AA19" s="10">
        <f>994+551752</f>
        <v>552746</v>
      </c>
      <c r="AB19" s="10">
        <v>641484</v>
      </c>
      <c r="AC19" s="10">
        <v>1864799</v>
      </c>
      <c r="AD19" s="10">
        <v>184511</v>
      </c>
      <c r="AE19" s="10">
        <v>527258</v>
      </c>
      <c r="AF19" s="10"/>
      <c r="AG19" s="10"/>
      <c r="AH19" s="10">
        <v>62428</v>
      </c>
      <c r="AI19" s="10">
        <v>170198</v>
      </c>
      <c r="AJ19" s="10">
        <v>2585</v>
      </c>
      <c r="AK19" s="10">
        <v>7287</v>
      </c>
      <c r="AL19" s="10"/>
      <c r="AM19" s="10"/>
      <c r="AN19" s="10"/>
      <c r="AO19" s="10"/>
      <c r="AP19" s="10">
        <v>205152.62537517981</v>
      </c>
      <c r="AQ19" s="10">
        <v>1153178.813289976</v>
      </c>
      <c r="AR19" s="10">
        <v>1131908</v>
      </c>
      <c r="AS19" s="10">
        <v>3110656</v>
      </c>
      <c r="AT19" s="10">
        <v>498703</v>
      </c>
      <c r="AU19" s="10">
        <v>1580372</v>
      </c>
      <c r="AV19" s="10">
        <v>67</v>
      </c>
      <c r="AW19" s="10">
        <v>188</v>
      </c>
      <c r="AX19" s="10">
        <v>13533</v>
      </c>
      <c r="AY19" s="10">
        <v>45652</v>
      </c>
      <c r="AZ19" s="10"/>
      <c r="BA19" s="10"/>
      <c r="BB19" s="10"/>
      <c r="BC19" s="10"/>
      <c r="BD19" s="10">
        <v>48917</v>
      </c>
      <c r="BE19" s="10">
        <v>148506</v>
      </c>
      <c r="BF19" s="10">
        <v>53116</v>
      </c>
      <c r="BG19" s="10">
        <v>110560</v>
      </c>
      <c r="BH19" s="10">
        <v>2113</v>
      </c>
      <c r="BI19" s="10">
        <v>7398</v>
      </c>
      <c r="BJ19" s="10"/>
      <c r="BK19" s="10"/>
      <c r="BL19" s="10">
        <v>710530</v>
      </c>
      <c r="BM19" s="10">
        <v>2207276</v>
      </c>
      <c r="BN19" s="10">
        <v>420345</v>
      </c>
      <c r="BO19" s="10">
        <v>1532009</v>
      </c>
      <c r="BP19" s="10">
        <f>164+17633</f>
        <v>17797</v>
      </c>
      <c r="BQ19" s="10">
        <f>451+42322</f>
        <v>42773</v>
      </c>
      <c r="BR19" s="85">
        <f t="shared" si="2"/>
        <v>4840391.6253751796</v>
      </c>
      <c r="BS19" s="85">
        <f t="shared" si="3"/>
        <v>14814920.813289976</v>
      </c>
    </row>
    <row r="21" spans="1:71" x14ac:dyDescent="0.25">
      <c r="A21" s="29" t="s">
        <v>231</v>
      </c>
    </row>
    <row r="22" spans="1:71" x14ac:dyDescent="0.25">
      <c r="A22" s="1" t="s">
        <v>0</v>
      </c>
      <c r="B22" s="107" t="s">
        <v>1</v>
      </c>
      <c r="C22" s="108"/>
      <c r="D22" s="107" t="s">
        <v>2</v>
      </c>
      <c r="E22" s="108"/>
      <c r="F22" s="107" t="s">
        <v>3</v>
      </c>
      <c r="G22" s="108"/>
      <c r="H22" s="107" t="s">
        <v>307</v>
      </c>
      <c r="I22" s="108"/>
      <c r="J22" s="107" t="s">
        <v>5</v>
      </c>
      <c r="K22" s="108"/>
      <c r="L22" s="107" t="s">
        <v>6</v>
      </c>
      <c r="M22" s="108"/>
      <c r="N22" s="107" t="s">
        <v>7</v>
      </c>
      <c r="O22" s="108"/>
      <c r="P22" s="107" t="s">
        <v>8</v>
      </c>
      <c r="Q22" s="108"/>
      <c r="R22" s="107" t="s">
        <v>9</v>
      </c>
      <c r="S22" s="108"/>
      <c r="T22" s="107" t="s">
        <v>10</v>
      </c>
      <c r="U22" s="108"/>
      <c r="V22" s="107" t="s">
        <v>11</v>
      </c>
      <c r="W22" s="108"/>
      <c r="X22" s="107" t="s">
        <v>12</v>
      </c>
      <c r="Y22" s="108"/>
      <c r="Z22" s="107" t="s">
        <v>13</v>
      </c>
      <c r="AA22" s="108"/>
      <c r="AB22" s="107" t="s">
        <v>14</v>
      </c>
      <c r="AC22" s="108"/>
      <c r="AD22" s="107" t="s">
        <v>15</v>
      </c>
      <c r="AE22" s="108"/>
      <c r="AF22" s="107" t="s">
        <v>16</v>
      </c>
      <c r="AG22" s="108"/>
      <c r="AH22" s="107" t="s">
        <v>17</v>
      </c>
      <c r="AI22" s="108"/>
      <c r="AJ22" s="107" t="s">
        <v>18</v>
      </c>
      <c r="AK22" s="108"/>
      <c r="AL22" s="107" t="s">
        <v>296</v>
      </c>
      <c r="AM22" s="108"/>
      <c r="AN22" s="107" t="s">
        <v>19</v>
      </c>
      <c r="AO22" s="108"/>
      <c r="AP22" s="107" t="s">
        <v>20</v>
      </c>
      <c r="AQ22" s="108"/>
      <c r="AR22" s="107" t="s">
        <v>21</v>
      </c>
      <c r="AS22" s="108"/>
      <c r="AT22" s="107" t="s">
        <v>22</v>
      </c>
      <c r="AU22" s="108"/>
      <c r="AV22" s="107" t="s">
        <v>23</v>
      </c>
      <c r="AW22" s="108"/>
      <c r="AX22" s="107" t="s">
        <v>24</v>
      </c>
      <c r="AY22" s="108"/>
      <c r="AZ22" s="107" t="s">
        <v>25</v>
      </c>
      <c r="BA22" s="108"/>
      <c r="BB22" s="107" t="s">
        <v>26</v>
      </c>
      <c r="BC22" s="108"/>
      <c r="BD22" s="107" t="s">
        <v>27</v>
      </c>
      <c r="BE22" s="108"/>
      <c r="BF22" s="107" t="s">
        <v>28</v>
      </c>
      <c r="BG22" s="108"/>
      <c r="BH22" s="107" t="s">
        <v>29</v>
      </c>
      <c r="BI22" s="108"/>
      <c r="BJ22" s="107" t="s">
        <v>30</v>
      </c>
      <c r="BK22" s="108"/>
      <c r="BL22" s="107" t="s">
        <v>31</v>
      </c>
      <c r="BM22" s="108"/>
      <c r="BN22" s="111" t="s">
        <v>32</v>
      </c>
      <c r="BO22" s="112"/>
      <c r="BP22" s="107" t="s">
        <v>33</v>
      </c>
      <c r="BQ22" s="108"/>
      <c r="BR22" s="109" t="s">
        <v>34</v>
      </c>
      <c r="BS22" s="110"/>
    </row>
    <row r="23" spans="1:71" ht="30" x14ac:dyDescent="0.25">
      <c r="A23" s="1"/>
      <c r="B23" s="66" t="s">
        <v>294</v>
      </c>
      <c r="C23" s="67" t="s">
        <v>295</v>
      </c>
      <c r="D23" s="66" t="s">
        <v>294</v>
      </c>
      <c r="E23" s="67" t="s">
        <v>295</v>
      </c>
      <c r="F23" s="66" t="s">
        <v>294</v>
      </c>
      <c r="G23" s="67" t="s">
        <v>295</v>
      </c>
      <c r="H23" s="66" t="s">
        <v>294</v>
      </c>
      <c r="I23" s="67" t="s">
        <v>295</v>
      </c>
      <c r="J23" s="66" t="s">
        <v>294</v>
      </c>
      <c r="K23" s="67" t="s">
        <v>295</v>
      </c>
      <c r="L23" s="66" t="s">
        <v>294</v>
      </c>
      <c r="M23" s="67" t="s">
        <v>295</v>
      </c>
      <c r="N23" s="66" t="s">
        <v>294</v>
      </c>
      <c r="O23" s="67" t="s">
        <v>295</v>
      </c>
      <c r="P23" s="66" t="s">
        <v>294</v>
      </c>
      <c r="Q23" s="67" t="s">
        <v>295</v>
      </c>
      <c r="R23" s="66" t="s">
        <v>294</v>
      </c>
      <c r="S23" s="67" t="s">
        <v>295</v>
      </c>
      <c r="T23" s="66" t="s">
        <v>294</v>
      </c>
      <c r="U23" s="67" t="s">
        <v>295</v>
      </c>
      <c r="V23" s="66" t="s">
        <v>294</v>
      </c>
      <c r="W23" s="67" t="s">
        <v>295</v>
      </c>
      <c r="X23" s="66" t="s">
        <v>294</v>
      </c>
      <c r="Y23" s="67" t="s">
        <v>295</v>
      </c>
      <c r="Z23" s="66" t="s">
        <v>294</v>
      </c>
      <c r="AA23" s="67" t="s">
        <v>295</v>
      </c>
      <c r="AB23" s="66" t="s">
        <v>294</v>
      </c>
      <c r="AC23" s="67" t="s">
        <v>295</v>
      </c>
      <c r="AD23" s="66" t="s">
        <v>294</v>
      </c>
      <c r="AE23" s="67" t="s">
        <v>295</v>
      </c>
      <c r="AF23" s="66" t="s">
        <v>294</v>
      </c>
      <c r="AG23" s="67" t="s">
        <v>295</v>
      </c>
      <c r="AH23" s="66" t="s">
        <v>294</v>
      </c>
      <c r="AI23" s="67" t="s">
        <v>295</v>
      </c>
      <c r="AJ23" s="66" t="s">
        <v>294</v>
      </c>
      <c r="AK23" s="67" t="s">
        <v>295</v>
      </c>
      <c r="AL23" s="66" t="s">
        <v>294</v>
      </c>
      <c r="AM23" s="67" t="s">
        <v>295</v>
      </c>
      <c r="AN23" s="66" t="s">
        <v>294</v>
      </c>
      <c r="AO23" s="67" t="s">
        <v>295</v>
      </c>
      <c r="AP23" s="66" t="s">
        <v>294</v>
      </c>
      <c r="AQ23" s="67" t="s">
        <v>295</v>
      </c>
      <c r="AR23" s="66" t="s">
        <v>294</v>
      </c>
      <c r="AS23" s="67" t="s">
        <v>295</v>
      </c>
      <c r="AT23" s="66" t="s">
        <v>294</v>
      </c>
      <c r="AU23" s="67" t="s">
        <v>295</v>
      </c>
      <c r="AV23" s="66" t="s">
        <v>294</v>
      </c>
      <c r="AW23" s="67" t="s">
        <v>295</v>
      </c>
      <c r="AX23" s="66" t="s">
        <v>294</v>
      </c>
      <c r="AY23" s="67" t="s">
        <v>295</v>
      </c>
      <c r="AZ23" s="66" t="s">
        <v>294</v>
      </c>
      <c r="BA23" s="67" t="s">
        <v>295</v>
      </c>
      <c r="BB23" s="66" t="s">
        <v>294</v>
      </c>
      <c r="BC23" s="67" t="s">
        <v>295</v>
      </c>
      <c r="BD23" s="66" t="s">
        <v>294</v>
      </c>
      <c r="BE23" s="67" t="s">
        <v>295</v>
      </c>
      <c r="BF23" s="66" t="s">
        <v>294</v>
      </c>
      <c r="BG23" s="67" t="s">
        <v>295</v>
      </c>
      <c r="BH23" s="66" t="s">
        <v>294</v>
      </c>
      <c r="BI23" s="67" t="s">
        <v>295</v>
      </c>
      <c r="BJ23" s="66" t="s">
        <v>294</v>
      </c>
      <c r="BK23" s="67" t="s">
        <v>295</v>
      </c>
      <c r="BL23" s="66" t="s">
        <v>294</v>
      </c>
      <c r="BM23" s="67" t="s">
        <v>295</v>
      </c>
      <c r="BN23" s="66" t="s">
        <v>294</v>
      </c>
      <c r="BO23" s="67" t="s">
        <v>295</v>
      </c>
      <c r="BP23" s="66" t="s">
        <v>294</v>
      </c>
      <c r="BQ23" s="67" t="s">
        <v>295</v>
      </c>
      <c r="BR23" s="66" t="s">
        <v>294</v>
      </c>
      <c r="BS23" s="67" t="s">
        <v>295</v>
      </c>
    </row>
    <row r="24" spans="1:71" x14ac:dyDescent="0.25">
      <c r="A24" s="10" t="s">
        <v>284</v>
      </c>
      <c r="B24" s="10">
        <v>627352</v>
      </c>
      <c r="C24" s="10">
        <v>1635871</v>
      </c>
      <c r="D24" s="10"/>
      <c r="E24" s="10"/>
      <c r="F24" s="10"/>
      <c r="G24" s="10"/>
      <c r="H24" s="10"/>
      <c r="I24" s="10"/>
      <c r="J24" s="10">
        <v>14290426</v>
      </c>
      <c r="K24" s="10">
        <v>39996235</v>
      </c>
      <c r="L24" s="10">
        <v>4536124</v>
      </c>
      <c r="M24" s="10">
        <v>11220601</v>
      </c>
      <c r="N24" s="10">
        <v>8132708</v>
      </c>
      <c r="O24" s="10">
        <v>24238752</v>
      </c>
      <c r="P24" s="10">
        <v>96562</v>
      </c>
      <c r="Q24" s="10">
        <v>811427</v>
      </c>
      <c r="R24" s="10">
        <v>269568</v>
      </c>
      <c r="S24" s="10">
        <v>407226</v>
      </c>
      <c r="T24" s="10"/>
      <c r="U24" s="10"/>
      <c r="V24" s="10">
        <v>3588504</v>
      </c>
      <c r="W24" s="10">
        <v>9680244</v>
      </c>
      <c r="X24" s="10">
        <v>5508142</v>
      </c>
      <c r="Y24" s="10">
        <v>13918484</v>
      </c>
      <c r="Z24" s="10">
        <f>4975171+4359959</f>
        <v>9335130</v>
      </c>
      <c r="AA24" s="10">
        <f>12556965+12042147</f>
        <v>24599112</v>
      </c>
      <c r="AB24" s="10">
        <v>20970471</v>
      </c>
      <c r="AC24" s="10">
        <v>50415766</v>
      </c>
      <c r="AD24" s="10">
        <v>8709608</v>
      </c>
      <c r="AE24" s="10">
        <v>25574930</v>
      </c>
      <c r="AF24" s="10">
        <v>720386</v>
      </c>
      <c r="AG24" s="10">
        <v>1780773</v>
      </c>
      <c r="AH24" s="10">
        <f>1835093+1379437</f>
        <v>3214530</v>
      </c>
      <c r="AI24" s="10">
        <f>4403029+3293966</f>
        <v>7696995</v>
      </c>
      <c r="AJ24" s="10">
        <v>2977071</v>
      </c>
      <c r="AK24" s="10">
        <v>7712582</v>
      </c>
      <c r="AL24" s="10"/>
      <c r="AM24" s="10"/>
      <c r="AN24" s="10"/>
      <c r="AO24" s="10"/>
      <c r="AP24" s="10">
        <v>15066304.748290751</v>
      </c>
      <c r="AQ24" s="10">
        <v>43475623.887582943</v>
      </c>
      <c r="AR24" s="10">
        <v>27430447</v>
      </c>
      <c r="AS24" s="10">
        <v>77278157</v>
      </c>
      <c r="AT24" s="10">
        <v>11324779</v>
      </c>
      <c r="AU24" s="10">
        <v>32056349</v>
      </c>
      <c r="AV24" s="10">
        <f>2638+215450</f>
        <v>218088</v>
      </c>
      <c r="AW24" s="10">
        <f>3946+535522</f>
        <v>539468</v>
      </c>
      <c r="AX24" s="10">
        <v>8045513</v>
      </c>
      <c r="AY24" s="10">
        <v>24802270</v>
      </c>
      <c r="AZ24" s="10"/>
      <c r="BA24" s="10"/>
      <c r="BB24" s="10"/>
      <c r="BC24" s="10"/>
      <c r="BD24" s="10">
        <v>5604940</v>
      </c>
      <c r="BE24" s="10">
        <v>15491084</v>
      </c>
      <c r="BF24" s="10">
        <v>4111040</v>
      </c>
      <c r="BG24" s="10">
        <v>8893691</v>
      </c>
      <c r="BH24" s="10">
        <v>5955305</v>
      </c>
      <c r="BI24" s="10">
        <v>17317975</v>
      </c>
      <c r="BJ24" s="10"/>
      <c r="BK24" s="10"/>
      <c r="BL24" s="10">
        <v>10518984</v>
      </c>
      <c r="BM24" s="10">
        <v>30301517</v>
      </c>
      <c r="BN24" s="10">
        <v>16772804</v>
      </c>
      <c r="BO24" s="10">
        <v>49174980</v>
      </c>
      <c r="BP24" s="10">
        <f>1339249+1107937</f>
        <v>2447186</v>
      </c>
      <c r="BQ24" s="10">
        <f>2700059+2937952</f>
        <v>5638011</v>
      </c>
      <c r="BR24" s="85">
        <f>SUM(B24+D24+F24+H24+J24+L24+N24+P24+R24+T24+V24+X24+Z24+AB24+AD24+AF24+AH24+AJ24+AL24+AN24+AP24+AR24+AT24+AV24+AX24+AZ24+BB24+BD24+BF24+BH24+BJ24+BL24+BN24+BP24)</f>
        <v>190471972.74829075</v>
      </c>
      <c r="BS24" s="85">
        <f>SUM(C24+E24+G24+I24+K24+M24+O24+Q24+S24+U24+W24+Y24+AA24+AC24+AE24+AG24+AI24+AK24+AM24+AO24+AQ24+AS24+AU24+AW24+AY24+BA24+BC24+BE24+BG24+BI24+BK24+BM24+BO24+BQ24)</f>
        <v>524658123.88758296</v>
      </c>
    </row>
    <row r="25" spans="1:71" x14ac:dyDescent="0.25">
      <c r="A25" s="10" t="s">
        <v>287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>
        <v>129583</v>
      </c>
      <c r="AC25" s="10">
        <v>131447</v>
      </c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>
        <v>1.3000000001284207E-4</v>
      </c>
      <c r="AQ25" s="10">
        <v>755.75199999999995</v>
      </c>
      <c r="AR25" s="10">
        <v>30179</v>
      </c>
      <c r="AS25" s="10">
        <v>88685</v>
      </c>
      <c r="AT25" s="10">
        <v>1133</v>
      </c>
      <c r="AU25" s="10">
        <v>2857</v>
      </c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85">
        <f t="shared" ref="BR25:BR28" si="4">SUM(B25+D25+F25+H25+J25+L25+N25+P25+R25+T25+V25+X25+Z25+AB25+AD25+AF25+AH25+AJ25+AL25+AN25+AP25+AR25+AT25+AV25+AX25+AZ25+BB25+BD25+BF25+BH25+BJ25+BL25+BN25+BP25)</f>
        <v>160895.00013</v>
      </c>
      <c r="BS25" s="85">
        <f t="shared" ref="BS25:BS28" si="5">SUM(C25+E25+G25+I25+K25+M25+O25+Q25+S25+U25+W25+Y25+AA25+AC25+AE25+AG25+AI25+AK25+AM25+AO25+AQ25+AS25+AU25+AW25+AY25+BA25+BC25+BE25+BG25+BI25+BK25+BM25+BO25+BQ25)</f>
        <v>223744.75200000001</v>
      </c>
    </row>
    <row r="26" spans="1:71" x14ac:dyDescent="0.25">
      <c r="A26" s="10" t="s">
        <v>288</v>
      </c>
      <c r="B26" s="10">
        <v>406714</v>
      </c>
      <c r="C26" s="10">
        <v>1066356</v>
      </c>
      <c r="D26" s="10"/>
      <c r="E26" s="10"/>
      <c r="F26" s="10"/>
      <c r="G26" s="10"/>
      <c r="H26" s="10"/>
      <c r="I26" s="10"/>
      <c r="J26" s="10">
        <v>750813</v>
      </c>
      <c r="K26" s="10">
        <v>2100583</v>
      </c>
      <c r="L26" s="10">
        <v>272459</v>
      </c>
      <c r="M26" s="10">
        <v>820596</v>
      </c>
      <c r="N26" s="10">
        <v>1396821</v>
      </c>
      <c r="O26" s="10">
        <v>4137523</v>
      </c>
      <c r="P26" s="10">
        <v>-14251</v>
      </c>
      <c r="Q26" s="10">
        <v>-141762</v>
      </c>
      <c r="R26" s="10">
        <v>19645</v>
      </c>
      <c r="S26" s="10">
        <v>32779</v>
      </c>
      <c r="T26" s="10"/>
      <c r="U26" s="10"/>
      <c r="V26" s="10">
        <v>253574</v>
      </c>
      <c r="W26" s="10">
        <v>622761</v>
      </c>
      <c r="X26" s="10">
        <v>1326766</v>
      </c>
      <c r="Y26" s="10">
        <v>3538568</v>
      </c>
      <c r="Z26" s="10">
        <f>-1562343-884900</f>
        <v>-2447243</v>
      </c>
      <c r="AA26" s="10">
        <f>-3924137-2445754</f>
        <v>-6369891</v>
      </c>
      <c r="AB26" s="10">
        <v>2261823</v>
      </c>
      <c r="AC26" s="10">
        <v>5315846</v>
      </c>
      <c r="AD26" s="10">
        <v>1638680</v>
      </c>
      <c r="AE26" s="10">
        <v>4988260</v>
      </c>
      <c r="AF26" s="10">
        <v>42331</v>
      </c>
      <c r="AG26" s="10">
        <v>104107</v>
      </c>
      <c r="AH26" s="10">
        <f>91367+68769</f>
        <v>160136</v>
      </c>
      <c r="AI26" s="10">
        <f>250825+183079</f>
        <v>433904</v>
      </c>
      <c r="AJ26" s="10">
        <v>-834698</v>
      </c>
      <c r="AK26" s="10">
        <v>-2184238</v>
      </c>
      <c r="AL26" s="10"/>
      <c r="AM26" s="10"/>
      <c r="AN26" s="10"/>
      <c r="AO26" s="10"/>
      <c r="AP26" s="10">
        <v>3775358.5016292385</v>
      </c>
      <c r="AQ26" s="10">
        <v>10897489.412623409</v>
      </c>
      <c r="AR26" s="10">
        <v>1594151</v>
      </c>
      <c r="AS26" s="10">
        <v>4329962</v>
      </c>
      <c r="AT26" s="10">
        <v>620788</v>
      </c>
      <c r="AU26" s="10">
        <v>1688644</v>
      </c>
      <c r="AV26" s="10">
        <f>171+16188</f>
        <v>16359</v>
      </c>
      <c r="AW26" s="10">
        <f>256+40232</f>
        <v>40488</v>
      </c>
      <c r="AX26" s="10">
        <v>2683511</v>
      </c>
      <c r="AY26" s="10">
        <v>8141423</v>
      </c>
      <c r="AZ26" s="10"/>
      <c r="BA26" s="10"/>
      <c r="BB26" s="10"/>
      <c r="BC26" s="10"/>
      <c r="BD26" s="10">
        <v>-930570</v>
      </c>
      <c r="BE26" s="10">
        <v>-2621679</v>
      </c>
      <c r="BF26" s="10">
        <v>882812</v>
      </c>
      <c r="BG26" s="10">
        <v>1930259</v>
      </c>
      <c r="BH26" s="10">
        <v>326242</v>
      </c>
      <c r="BI26" s="10">
        <v>927410</v>
      </c>
      <c r="BJ26" s="10"/>
      <c r="BK26" s="10"/>
      <c r="BL26" s="10">
        <v>1983189</v>
      </c>
      <c r="BM26" s="10">
        <v>6014484</v>
      </c>
      <c r="BN26" s="10">
        <v>854858</v>
      </c>
      <c r="BO26" s="10">
        <v>2491199</v>
      </c>
      <c r="BP26" s="10">
        <f>71227+55547</f>
        <v>126774</v>
      </c>
      <c r="BQ26" s="10">
        <f>159390+180183</f>
        <v>339573</v>
      </c>
      <c r="BR26" s="85">
        <f t="shared" si="4"/>
        <v>17167042.501629241</v>
      </c>
      <c r="BS26" s="85">
        <f t="shared" si="5"/>
        <v>48644644.412623405</v>
      </c>
    </row>
    <row r="27" spans="1:71" x14ac:dyDescent="0.25">
      <c r="A27" s="10" t="s">
        <v>242</v>
      </c>
      <c r="B27" s="10">
        <v>220638</v>
      </c>
      <c r="C27" s="10">
        <v>569515</v>
      </c>
      <c r="D27" s="10"/>
      <c r="E27" s="10"/>
      <c r="F27" s="10"/>
      <c r="G27" s="10"/>
      <c r="H27" s="10"/>
      <c r="I27" s="10"/>
      <c r="J27" s="10">
        <v>13539613</v>
      </c>
      <c r="K27" s="10">
        <v>37895652</v>
      </c>
      <c r="L27" s="10">
        <v>4263665</v>
      </c>
      <c r="M27" s="10">
        <v>10400006</v>
      </c>
      <c r="N27" s="10">
        <v>6735887</v>
      </c>
      <c r="O27" s="10">
        <v>20101229</v>
      </c>
      <c r="P27" s="10">
        <v>82311</v>
      </c>
      <c r="Q27" s="10">
        <v>669665</v>
      </c>
      <c r="R27" s="10">
        <v>249923</v>
      </c>
      <c r="S27" s="10">
        <v>374447</v>
      </c>
      <c r="T27" s="10"/>
      <c r="U27" s="10"/>
      <c r="V27" s="10">
        <v>3334930</v>
      </c>
      <c r="W27" s="10">
        <v>9057484</v>
      </c>
      <c r="X27" s="10">
        <v>4181376</v>
      </c>
      <c r="Y27" s="10">
        <v>10379916</v>
      </c>
      <c r="Z27" s="10">
        <f>3412828+3475058</f>
        <v>6887886</v>
      </c>
      <c r="AA27" s="10">
        <f>8632828+9596393</f>
        <v>18229221</v>
      </c>
      <c r="AB27" s="10">
        <v>18838231</v>
      </c>
      <c r="AC27" s="10">
        <v>45231367</v>
      </c>
      <c r="AD27" s="10">
        <v>7070928</v>
      </c>
      <c r="AE27" s="10">
        <v>20586670</v>
      </c>
      <c r="AF27" s="10">
        <v>678055</v>
      </c>
      <c r="AG27" s="10">
        <v>1676666</v>
      </c>
      <c r="AH27" s="10">
        <f>1743726+1310667</f>
        <v>3054393</v>
      </c>
      <c r="AI27" s="10">
        <f>4152204+3110887</f>
        <v>7263091</v>
      </c>
      <c r="AJ27" s="10">
        <v>2142373</v>
      </c>
      <c r="AK27" s="10">
        <v>5528344</v>
      </c>
      <c r="AL27" s="10"/>
      <c r="AM27" s="10"/>
      <c r="AN27" s="10"/>
      <c r="AO27" s="10"/>
      <c r="AP27" s="10">
        <v>11290946.246791512</v>
      </c>
      <c r="AQ27" s="10">
        <v>32578890.22695953</v>
      </c>
      <c r="AR27" s="10">
        <v>25866475</v>
      </c>
      <c r="AS27" s="10">
        <v>73036879</v>
      </c>
      <c r="AT27" s="10">
        <v>10705124</v>
      </c>
      <c r="AU27" s="10">
        <v>30370562</v>
      </c>
      <c r="AV27" s="10">
        <f>2467+199262</f>
        <v>201729</v>
      </c>
      <c r="AW27" s="10">
        <f>3690+495290</f>
        <v>498980</v>
      </c>
      <c r="AX27" s="10">
        <v>5362002</v>
      </c>
      <c r="AY27" s="10">
        <v>16660847</v>
      </c>
      <c r="AZ27" s="10"/>
      <c r="BA27" s="10"/>
      <c r="BB27" s="10"/>
      <c r="BC27" s="10"/>
      <c r="BD27" s="10">
        <v>4674370</v>
      </c>
      <c r="BE27" s="10">
        <v>12869405</v>
      </c>
      <c r="BF27" s="10">
        <v>3228228</v>
      </c>
      <c r="BG27" s="10">
        <v>6963432</v>
      </c>
      <c r="BH27" s="10">
        <v>5629063</v>
      </c>
      <c r="BI27" s="10">
        <v>16390565</v>
      </c>
      <c r="BJ27" s="10"/>
      <c r="BK27" s="10"/>
      <c r="BL27" s="10">
        <v>8535795</v>
      </c>
      <c r="BM27" s="10">
        <v>24287033</v>
      </c>
      <c r="BN27" s="10">
        <v>15917946</v>
      </c>
      <c r="BO27" s="10">
        <v>46683781</v>
      </c>
      <c r="BP27" s="10">
        <f>1268022+1052390</f>
        <v>2320412</v>
      </c>
      <c r="BQ27" s="10">
        <f>2540669+2757769</f>
        <v>5298438</v>
      </c>
      <c r="BR27" s="85">
        <f t="shared" si="4"/>
        <v>165012299.24679151</v>
      </c>
      <c r="BS27" s="85">
        <f t="shared" si="5"/>
        <v>453602085.22695953</v>
      </c>
    </row>
    <row r="28" spans="1:71" x14ac:dyDescent="0.25">
      <c r="A28" s="10" t="s">
        <v>243</v>
      </c>
      <c r="B28" s="10">
        <v>207563</v>
      </c>
      <c r="C28" s="10">
        <v>545053</v>
      </c>
      <c r="D28" s="10"/>
      <c r="E28" s="10"/>
      <c r="F28" s="10"/>
      <c r="G28" s="10"/>
      <c r="H28" s="10"/>
      <c r="I28" s="10"/>
      <c r="J28" s="10">
        <v>12593254</v>
      </c>
      <c r="K28" s="10">
        <v>36320718</v>
      </c>
      <c r="L28" s="10">
        <v>3264811</v>
      </c>
      <c r="M28" s="10">
        <v>9038432</v>
      </c>
      <c r="N28" s="10">
        <v>7111595</v>
      </c>
      <c r="O28" s="10">
        <v>20737612</v>
      </c>
      <c r="P28" s="10">
        <v>59702</v>
      </c>
      <c r="Q28" s="10">
        <v>345926</v>
      </c>
      <c r="R28" s="10">
        <v>111502</v>
      </c>
      <c r="S28" s="10">
        <v>254425</v>
      </c>
      <c r="T28" s="10"/>
      <c r="U28" s="10"/>
      <c r="V28" s="10">
        <v>2962326</v>
      </c>
      <c r="W28" s="10">
        <v>8481853</v>
      </c>
      <c r="X28" s="10">
        <v>3250275</v>
      </c>
      <c r="Y28" s="10">
        <v>8064936</v>
      </c>
      <c r="Z28" s="10">
        <f>3017046+3254010</f>
        <v>6271056</v>
      </c>
      <c r="AA28" s="10">
        <f>8511294+9519920</f>
        <v>18031214</v>
      </c>
      <c r="AB28" s="10">
        <v>15829951</v>
      </c>
      <c r="AC28" s="10">
        <v>45881822</v>
      </c>
      <c r="AD28" s="10">
        <v>7230030</v>
      </c>
      <c r="AE28" s="10">
        <v>21367641</v>
      </c>
      <c r="AF28" s="10">
        <v>538975</v>
      </c>
      <c r="AG28" s="10">
        <v>1510833</v>
      </c>
      <c r="AH28" s="10">
        <f>1272598+960041</f>
        <v>2232639</v>
      </c>
      <c r="AI28" s="10">
        <f>3506801+2579685</f>
        <v>6086486</v>
      </c>
      <c r="AJ28" s="10">
        <v>1711820</v>
      </c>
      <c r="AK28" s="10">
        <v>4783961</v>
      </c>
      <c r="AL28" s="10"/>
      <c r="AM28" s="10"/>
      <c r="AN28" s="10"/>
      <c r="AO28" s="10"/>
      <c r="AP28" s="10">
        <v>11455710.845791511</v>
      </c>
      <c r="AQ28" s="10">
        <v>33207515.491959531</v>
      </c>
      <c r="AR28" s="10">
        <v>24939223</v>
      </c>
      <c r="AS28" s="10">
        <v>73571543</v>
      </c>
      <c r="AT28" s="10">
        <v>11106894</v>
      </c>
      <c r="AU28" s="10">
        <v>31385998</v>
      </c>
      <c r="AV28" s="10">
        <f>700+186740</f>
        <v>187440</v>
      </c>
      <c r="AW28" s="10">
        <f>1905+532592</f>
        <v>534497</v>
      </c>
      <c r="AX28" s="10">
        <v>5384153</v>
      </c>
      <c r="AY28" s="10">
        <v>16386575</v>
      </c>
      <c r="AZ28" s="10"/>
      <c r="BA28" s="10"/>
      <c r="BB28" s="10"/>
      <c r="BC28" s="10"/>
      <c r="BD28" s="10">
        <v>4259973</v>
      </c>
      <c r="BE28" s="10">
        <v>12598728</v>
      </c>
      <c r="BF28" s="10">
        <v>2077059</v>
      </c>
      <c r="BG28" s="10">
        <v>6073255</v>
      </c>
      <c r="BH28" s="10">
        <v>5686377</v>
      </c>
      <c r="BI28" s="10">
        <v>16565248</v>
      </c>
      <c r="BJ28" s="10"/>
      <c r="BK28" s="10"/>
      <c r="BL28" s="10">
        <v>8166040</v>
      </c>
      <c r="BM28" s="10">
        <v>23894216</v>
      </c>
      <c r="BN28" s="10">
        <v>15946239</v>
      </c>
      <c r="BO28" s="10">
        <v>46418558</v>
      </c>
      <c r="BP28" s="10">
        <f>871899+978762</f>
        <v>1850661</v>
      </c>
      <c r="BQ28" s="10">
        <f>2844841+2535875</f>
        <v>5380716</v>
      </c>
      <c r="BR28" s="85">
        <f t="shared" si="4"/>
        <v>154435268.84579152</v>
      </c>
      <c r="BS28" s="85">
        <f t="shared" si="5"/>
        <v>447467761.49195957</v>
      </c>
    </row>
    <row r="30" spans="1:71" x14ac:dyDescent="0.25">
      <c r="A30" s="29" t="s">
        <v>232</v>
      </c>
    </row>
    <row r="31" spans="1:71" x14ac:dyDescent="0.25">
      <c r="A31" s="1" t="s">
        <v>0</v>
      </c>
      <c r="B31" s="107" t="s">
        <v>1</v>
      </c>
      <c r="C31" s="108"/>
      <c r="D31" s="107" t="s">
        <v>2</v>
      </c>
      <c r="E31" s="108"/>
      <c r="F31" s="107" t="s">
        <v>3</v>
      </c>
      <c r="G31" s="108"/>
      <c r="H31" s="107" t="s">
        <v>307</v>
      </c>
      <c r="I31" s="108"/>
      <c r="J31" s="107" t="s">
        <v>5</v>
      </c>
      <c r="K31" s="108"/>
      <c r="L31" s="107" t="s">
        <v>6</v>
      </c>
      <c r="M31" s="108"/>
      <c r="N31" s="107" t="s">
        <v>7</v>
      </c>
      <c r="O31" s="108"/>
      <c r="P31" s="107" t="s">
        <v>8</v>
      </c>
      <c r="Q31" s="108"/>
      <c r="R31" s="107" t="s">
        <v>9</v>
      </c>
      <c r="S31" s="108"/>
      <c r="T31" s="107" t="s">
        <v>10</v>
      </c>
      <c r="U31" s="108"/>
      <c r="V31" s="107" t="s">
        <v>11</v>
      </c>
      <c r="W31" s="108"/>
      <c r="X31" s="107" t="s">
        <v>12</v>
      </c>
      <c r="Y31" s="108"/>
      <c r="Z31" s="107" t="s">
        <v>13</v>
      </c>
      <c r="AA31" s="108"/>
      <c r="AB31" s="107" t="s">
        <v>14</v>
      </c>
      <c r="AC31" s="108"/>
      <c r="AD31" s="107" t="s">
        <v>15</v>
      </c>
      <c r="AE31" s="108"/>
      <c r="AF31" s="107" t="s">
        <v>16</v>
      </c>
      <c r="AG31" s="108"/>
      <c r="AH31" s="107" t="s">
        <v>17</v>
      </c>
      <c r="AI31" s="108"/>
      <c r="AJ31" s="107" t="s">
        <v>18</v>
      </c>
      <c r="AK31" s="108"/>
      <c r="AL31" s="107" t="s">
        <v>296</v>
      </c>
      <c r="AM31" s="108"/>
      <c r="AN31" s="107" t="s">
        <v>19</v>
      </c>
      <c r="AO31" s="108"/>
      <c r="AP31" s="107" t="s">
        <v>20</v>
      </c>
      <c r="AQ31" s="108"/>
      <c r="AR31" s="107" t="s">
        <v>21</v>
      </c>
      <c r="AS31" s="108"/>
      <c r="AT31" s="107" t="s">
        <v>22</v>
      </c>
      <c r="AU31" s="108"/>
      <c r="AV31" s="107" t="s">
        <v>23</v>
      </c>
      <c r="AW31" s="108"/>
      <c r="AX31" s="107" t="s">
        <v>24</v>
      </c>
      <c r="AY31" s="108"/>
      <c r="AZ31" s="107" t="s">
        <v>25</v>
      </c>
      <c r="BA31" s="108"/>
      <c r="BB31" s="107" t="s">
        <v>26</v>
      </c>
      <c r="BC31" s="108"/>
      <c r="BD31" s="107" t="s">
        <v>27</v>
      </c>
      <c r="BE31" s="108"/>
      <c r="BF31" s="107" t="s">
        <v>28</v>
      </c>
      <c r="BG31" s="108"/>
      <c r="BH31" s="107" t="s">
        <v>29</v>
      </c>
      <c r="BI31" s="108"/>
      <c r="BJ31" s="107" t="s">
        <v>30</v>
      </c>
      <c r="BK31" s="108"/>
      <c r="BL31" s="107" t="s">
        <v>31</v>
      </c>
      <c r="BM31" s="108"/>
      <c r="BN31" s="111" t="s">
        <v>32</v>
      </c>
      <c r="BO31" s="112"/>
      <c r="BP31" s="107" t="s">
        <v>33</v>
      </c>
      <c r="BQ31" s="108"/>
      <c r="BR31" s="109" t="s">
        <v>34</v>
      </c>
      <c r="BS31" s="110"/>
    </row>
    <row r="32" spans="1:71" ht="30" x14ac:dyDescent="0.25">
      <c r="A32" s="1"/>
      <c r="B32" s="66" t="s">
        <v>294</v>
      </c>
      <c r="C32" s="67" t="s">
        <v>295</v>
      </c>
      <c r="D32" s="66" t="s">
        <v>294</v>
      </c>
      <c r="E32" s="67" t="s">
        <v>295</v>
      </c>
      <c r="F32" s="66" t="s">
        <v>294</v>
      </c>
      <c r="G32" s="67" t="s">
        <v>295</v>
      </c>
      <c r="H32" s="66" t="s">
        <v>294</v>
      </c>
      <c r="I32" s="67" t="s">
        <v>295</v>
      </c>
      <c r="J32" s="66" t="s">
        <v>294</v>
      </c>
      <c r="K32" s="67" t="s">
        <v>295</v>
      </c>
      <c r="L32" s="66" t="s">
        <v>294</v>
      </c>
      <c r="M32" s="67" t="s">
        <v>295</v>
      </c>
      <c r="N32" s="66" t="s">
        <v>294</v>
      </c>
      <c r="O32" s="67" t="s">
        <v>295</v>
      </c>
      <c r="P32" s="66" t="s">
        <v>294</v>
      </c>
      <c r="Q32" s="67" t="s">
        <v>295</v>
      </c>
      <c r="R32" s="66" t="s">
        <v>294</v>
      </c>
      <c r="S32" s="67" t="s">
        <v>295</v>
      </c>
      <c r="T32" s="66" t="s">
        <v>294</v>
      </c>
      <c r="U32" s="67" t="s">
        <v>295</v>
      </c>
      <c r="V32" s="66" t="s">
        <v>294</v>
      </c>
      <c r="W32" s="67" t="s">
        <v>295</v>
      </c>
      <c r="X32" s="66" t="s">
        <v>294</v>
      </c>
      <c r="Y32" s="67" t="s">
        <v>295</v>
      </c>
      <c r="Z32" s="66" t="s">
        <v>294</v>
      </c>
      <c r="AA32" s="67" t="s">
        <v>295</v>
      </c>
      <c r="AB32" s="66" t="s">
        <v>294</v>
      </c>
      <c r="AC32" s="67" t="s">
        <v>295</v>
      </c>
      <c r="AD32" s="66" t="s">
        <v>294</v>
      </c>
      <c r="AE32" s="67" t="s">
        <v>295</v>
      </c>
      <c r="AF32" s="66" t="s">
        <v>294</v>
      </c>
      <c r="AG32" s="67" t="s">
        <v>295</v>
      </c>
      <c r="AH32" s="66" t="s">
        <v>294</v>
      </c>
      <c r="AI32" s="67" t="s">
        <v>295</v>
      </c>
      <c r="AJ32" s="66" t="s">
        <v>294</v>
      </c>
      <c r="AK32" s="67" t="s">
        <v>295</v>
      </c>
      <c r="AL32" s="66" t="s">
        <v>294</v>
      </c>
      <c r="AM32" s="67" t="s">
        <v>295</v>
      </c>
      <c r="AN32" s="66" t="s">
        <v>294</v>
      </c>
      <c r="AO32" s="67" t="s">
        <v>295</v>
      </c>
      <c r="AP32" s="66" t="s">
        <v>294</v>
      </c>
      <c r="AQ32" s="67" t="s">
        <v>295</v>
      </c>
      <c r="AR32" s="66" t="s">
        <v>294</v>
      </c>
      <c r="AS32" s="67" t="s">
        <v>295</v>
      </c>
      <c r="AT32" s="66" t="s">
        <v>294</v>
      </c>
      <c r="AU32" s="67" t="s">
        <v>295</v>
      </c>
      <c r="AV32" s="66" t="s">
        <v>294</v>
      </c>
      <c r="AW32" s="67" t="s">
        <v>295</v>
      </c>
      <c r="AX32" s="66" t="s">
        <v>294</v>
      </c>
      <c r="AY32" s="67" t="s">
        <v>295</v>
      </c>
      <c r="AZ32" s="66" t="s">
        <v>294</v>
      </c>
      <c r="BA32" s="67" t="s">
        <v>295</v>
      </c>
      <c r="BB32" s="66" t="s">
        <v>294</v>
      </c>
      <c r="BC32" s="67" t="s">
        <v>295</v>
      </c>
      <c r="BD32" s="66" t="s">
        <v>294</v>
      </c>
      <c r="BE32" s="67" t="s">
        <v>295</v>
      </c>
      <c r="BF32" s="66" t="s">
        <v>294</v>
      </c>
      <c r="BG32" s="67" t="s">
        <v>295</v>
      </c>
      <c r="BH32" s="66" t="s">
        <v>294</v>
      </c>
      <c r="BI32" s="67" t="s">
        <v>295</v>
      </c>
      <c r="BJ32" s="66" t="s">
        <v>294</v>
      </c>
      <c r="BK32" s="67" t="s">
        <v>295</v>
      </c>
      <c r="BL32" s="66" t="s">
        <v>294</v>
      </c>
      <c r="BM32" s="67" t="s">
        <v>295</v>
      </c>
      <c r="BN32" s="66" t="s">
        <v>294</v>
      </c>
      <c r="BO32" s="67" t="s">
        <v>295</v>
      </c>
      <c r="BP32" s="66" t="s">
        <v>294</v>
      </c>
      <c r="BQ32" s="67" t="s">
        <v>295</v>
      </c>
      <c r="BR32" s="66" t="s">
        <v>294</v>
      </c>
      <c r="BS32" s="67" t="s">
        <v>295</v>
      </c>
    </row>
    <row r="33" spans="1:71" x14ac:dyDescent="0.25">
      <c r="A33" s="10" t="s">
        <v>284</v>
      </c>
      <c r="B33" s="10"/>
      <c r="C33" s="10"/>
      <c r="D33" s="10"/>
      <c r="E33" s="10"/>
      <c r="F33" s="10"/>
      <c r="G33" s="10"/>
      <c r="H33" s="10"/>
      <c r="I33" s="10"/>
      <c r="J33" s="10">
        <v>359434</v>
      </c>
      <c r="K33" s="10">
        <v>1164014</v>
      </c>
      <c r="L33" s="10">
        <v>64907</v>
      </c>
      <c r="M33" s="10">
        <v>255237</v>
      </c>
      <c r="N33" s="10">
        <v>67982</v>
      </c>
      <c r="O33" s="10">
        <v>218622</v>
      </c>
      <c r="P33" s="10"/>
      <c r="Q33" s="10"/>
      <c r="R33" s="10"/>
      <c r="S33" s="10"/>
      <c r="T33" s="10"/>
      <c r="U33" s="10"/>
      <c r="V33" s="10">
        <v>110673</v>
      </c>
      <c r="W33" s="10">
        <v>375450</v>
      </c>
      <c r="X33" s="10">
        <v>10064</v>
      </c>
      <c r="Y33" s="10">
        <v>27292</v>
      </c>
      <c r="Z33" s="10">
        <v>453984</v>
      </c>
      <c r="AA33" s="10">
        <v>1298230</v>
      </c>
      <c r="AB33" s="10">
        <v>819340</v>
      </c>
      <c r="AC33" s="10">
        <v>2413643</v>
      </c>
      <c r="AD33" s="10">
        <v>195142</v>
      </c>
      <c r="AE33" s="10">
        <v>653655</v>
      </c>
      <c r="AF33" s="10">
        <v>3132</v>
      </c>
      <c r="AG33" s="10">
        <v>13176</v>
      </c>
      <c r="AH33" s="10">
        <v>52362</v>
      </c>
      <c r="AI33" s="10">
        <v>198533</v>
      </c>
      <c r="AJ33" s="10">
        <v>14189</v>
      </c>
      <c r="AK33" s="10">
        <v>34937</v>
      </c>
      <c r="AL33" s="10"/>
      <c r="AM33" s="10"/>
      <c r="AN33" s="10"/>
      <c r="AO33" s="10"/>
      <c r="AP33" s="10">
        <v>570523.28366602887</v>
      </c>
      <c r="AQ33" s="10">
        <v>1841521.9431484479</v>
      </c>
      <c r="AR33" s="10">
        <v>1409405</v>
      </c>
      <c r="AS33" s="10">
        <v>4344523</v>
      </c>
      <c r="AT33" s="10">
        <v>491295</v>
      </c>
      <c r="AU33" s="10">
        <v>1753222</v>
      </c>
      <c r="AV33" s="10">
        <v>3248</v>
      </c>
      <c r="AW33" s="10">
        <v>6792</v>
      </c>
      <c r="AX33" s="10">
        <v>245713</v>
      </c>
      <c r="AY33" s="10">
        <v>832139</v>
      </c>
      <c r="AZ33" s="10"/>
      <c r="BA33" s="10"/>
      <c r="BB33" s="10"/>
      <c r="BC33" s="10"/>
      <c r="BD33" s="10">
        <v>299881</v>
      </c>
      <c r="BE33" s="10">
        <v>659830</v>
      </c>
      <c r="BF33" s="10">
        <v>106884</v>
      </c>
      <c r="BG33" s="10">
        <v>277845</v>
      </c>
      <c r="BH33" s="10">
        <v>50057</v>
      </c>
      <c r="BI33" s="10">
        <v>139407</v>
      </c>
      <c r="BJ33" s="10"/>
      <c r="BK33" s="10"/>
      <c r="BL33" s="10">
        <v>206220</v>
      </c>
      <c r="BM33" s="10">
        <v>493368</v>
      </c>
      <c r="BN33" s="10">
        <v>851511</v>
      </c>
      <c r="BO33" s="10">
        <v>2870505</v>
      </c>
      <c r="BP33" s="10">
        <v>17965</v>
      </c>
      <c r="BQ33" s="10">
        <v>63139</v>
      </c>
      <c r="BR33" s="85">
        <f t="shared" ref="BR33:BR37" si="6">SUM(B33+D33+F33+H33+J33+L33+N33+P33+R33+T33+V33+X33+Z33+AB33+AD33+AF33+AH33+AJ33+AL33+AN33+AP33+AR33+AT33+AV33+AX33+AZ33+BB33+BD33+BF33+BH33+BJ33+BL33+BN33+BP33)</f>
        <v>6403911.2836660286</v>
      </c>
      <c r="BS33" s="85">
        <f t="shared" ref="BS33:BS37" si="7">SUM(C33+E33+G33+I33+K33+M33+O33+Q33+S33+U33+W33+Y33+AA33+AC33+AE33+AG33+AI33+AK33+AM33+AO33+AQ33+AS33+AU33+AW33+AY33+BA33+BC33+BE33+BG33+BI33+BK33+BM33+BO33+BQ33)</f>
        <v>19935080.943148449</v>
      </c>
    </row>
    <row r="34" spans="1:71" x14ac:dyDescent="0.25">
      <c r="A34" s="10" t="s">
        <v>287</v>
      </c>
      <c r="B34" s="10"/>
      <c r="C34" s="10"/>
      <c r="D34" s="10"/>
      <c r="E34" s="10"/>
      <c r="F34" s="10"/>
      <c r="G34" s="10"/>
      <c r="H34" s="10"/>
      <c r="I34" s="10"/>
      <c r="J34" s="10">
        <v>14037</v>
      </c>
      <c r="K34" s="10">
        <v>47743</v>
      </c>
      <c r="L34" s="10">
        <v>3015</v>
      </c>
      <c r="M34" s="10">
        <v>8881</v>
      </c>
      <c r="N34" s="10">
        <v>4404</v>
      </c>
      <c r="O34" s="10">
        <v>13837</v>
      </c>
      <c r="P34" s="10">
        <v>246</v>
      </c>
      <c r="Q34" s="10">
        <v>786</v>
      </c>
      <c r="R34" s="10">
        <v>1232</v>
      </c>
      <c r="S34" s="10">
        <v>4402</v>
      </c>
      <c r="T34" s="10"/>
      <c r="U34" s="10"/>
      <c r="V34" s="10">
        <v>7420</v>
      </c>
      <c r="W34" s="10">
        <v>24914</v>
      </c>
      <c r="X34" s="10">
        <v>5831</v>
      </c>
      <c r="Y34" s="10">
        <v>18479</v>
      </c>
      <c r="Z34" s="10">
        <v>7082</v>
      </c>
      <c r="AA34" s="10">
        <v>63680</v>
      </c>
      <c r="AB34" s="10">
        <v>67687</v>
      </c>
      <c r="AC34" s="10">
        <v>285807</v>
      </c>
      <c r="AD34" s="10">
        <v>18827</v>
      </c>
      <c r="AE34" s="10">
        <v>32283</v>
      </c>
      <c r="AF34" s="10">
        <v>1232</v>
      </c>
      <c r="AG34" s="10">
        <v>3932</v>
      </c>
      <c r="AH34" s="10">
        <v>4642</v>
      </c>
      <c r="AI34" s="10">
        <v>10165</v>
      </c>
      <c r="AJ34" s="10">
        <v>4406</v>
      </c>
      <c r="AK34" s="10">
        <v>12330</v>
      </c>
      <c r="AL34" s="10"/>
      <c r="AM34" s="10"/>
      <c r="AN34" s="10"/>
      <c r="AO34" s="10"/>
      <c r="AP34" s="10">
        <v>94738.528438097012</v>
      </c>
      <c r="AQ34" s="10">
        <v>254575.69200585602</v>
      </c>
      <c r="AR34" s="10">
        <v>168790</v>
      </c>
      <c r="AS34" s="10">
        <v>461090</v>
      </c>
      <c r="AT34" s="10">
        <v>142897</v>
      </c>
      <c r="AU34" s="10">
        <v>332926</v>
      </c>
      <c r="AV34" s="10">
        <v>123</v>
      </c>
      <c r="AW34" s="10">
        <v>393</v>
      </c>
      <c r="AX34" s="10">
        <v>10733</v>
      </c>
      <c r="AY34" s="10">
        <v>26050</v>
      </c>
      <c r="AZ34" s="10"/>
      <c r="BA34" s="10"/>
      <c r="BB34" s="10"/>
      <c r="BC34" s="10"/>
      <c r="BD34" s="10">
        <v>7001</v>
      </c>
      <c r="BE34" s="10">
        <v>31882</v>
      </c>
      <c r="BF34" s="10">
        <v>1924</v>
      </c>
      <c r="BG34" s="10">
        <v>6141</v>
      </c>
      <c r="BH34" s="10">
        <v>2127</v>
      </c>
      <c r="BI34" s="10">
        <v>7451</v>
      </c>
      <c r="BJ34" s="10"/>
      <c r="BK34" s="10"/>
      <c r="BL34" s="10">
        <v>4286</v>
      </c>
      <c r="BM34" s="10">
        <v>18119</v>
      </c>
      <c r="BN34" s="10">
        <v>62869</v>
      </c>
      <c r="BO34" s="10">
        <v>177147</v>
      </c>
      <c r="BP34" s="10">
        <v>1232</v>
      </c>
      <c r="BQ34" s="10">
        <v>3932</v>
      </c>
      <c r="BR34" s="85">
        <f t="shared" si="6"/>
        <v>636781.52843809698</v>
      </c>
      <c r="BS34" s="85">
        <f t="shared" si="7"/>
        <v>1846945.692005856</v>
      </c>
    </row>
    <row r="35" spans="1:71" x14ac:dyDescent="0.25">
      <c r="A35" s="10" t="s">
        <v>288</v>
      </c>
      <c r="B35" s="10"/>
      <c r="C35" s="10"/>
      <c r="D35" s="10"/>
      <c r="E35" s="10"/>
      <c r="F35" s="10"/>
      <c r="G35" s="10"/>
      <c r="H35" s="10"/>
      <c r="I35" s="10"/>
      <c r="J35" s="10">
        <v>309835</v>
      </c>
      <c r="K35" s="10">
        <v>1002305</v>
      </c>
      <c r="L35" s="10">
        <v>50326</v>
      </c>
      <c r="M35" s="10">
        <v>206475</v>
      </c>
      <c r="N35" s="10">
        <v>38819</v>
      </c>
      <c r="O35" s="10">
        <v>136562</v>
      </c>
      <c r="P35" s="10">
        <v>-42</v>
      </c>
      <c r="Q35" s="10">
        <v>-69</v>
      </c>
      <c r="R35" s="10">
        <v>392</v>
      </c>
      <c r="S35" s="10">
        <v>1741</v>
      </c>
      <c r="T35" s="10"/>
      <c r="U35" s="10"/>
      <c r="V35" s="10">
        <v>95899</v>
      </c>
      <c r="W35" s="10">
        <v>314034</v>
      </c>
      <c r="X35" s="10">
        <v>13457</v>
      </c>
      <c r="Y35" s="10">
        <v>37765</v>
      </c>
      <c r="Z35" s="10">
        <v>-341214</v>
      </c>
      <c r="AA35" s="10">
        <v>-962143</v>
      </c>
      <c r="AB35" s="10">
        <v>576639</v>
      </c>
      <c r="AC35" s="10">
        <v>1809795</v>
      </c>
      <c r="AD35" s="10">
        <v>158549</v>
      </c>
      <c r="AE35" s="10">
        <v>550000</v>
      </c>
      <c r="AF35" s="10">
        <v>2931</v>
      </c>
      <c r="AG35" s="10">
        <v>12367</v>
      </c>
      <c r="AH35" s="10">
        <v>34558</v>
      </c>
      <c r="AI35" s="10">
        <v>144821</v>
      </c>
      <c r="AJ35" s="10">
        <v>-14284</v>
      </c>
      <c r="AK35" s="10">
        <v>-35084</v>
      </c>
      <c r="AL35" s="10"/>
      <c r="AM35" s="10"/>
      <c r="AN35" s="10"/>
      <c r="AO35" s="10"/>
      <c r="AP35" s="10">
        <v>119804.99747909314</v>
      </c>
      <c r="AQ35" s="10">
        <v>542272.7766587761</v>
      </c>
      <c r="AR35" s="10">
        <v>617232</v>
      </c>
      <c r="AS35" s="10">
        <v>2207080</v>
      </c>
      <c r="AT35" s="10">
        <v>176532</v>
      </c>
      <c r="AU35" s="10">
        <v>638656</v>
      </c>
      <c r="AV35" s="10">
        <v>2799</v>
      </c>
      <c r="AW35" s="10">
        <v>5676</v>
      </c>
      <c r="AX35" s="10">
        <v>173196</v>
      </c>
      <c r="AY35" s="10">
        <v>565954</v>
      </c>
      <c r="AZ35" s="10"/>
      <c r="BA35" s="10"/>
      <c r="BB35" s="10"/>
      <c r="BC35" s="10"/>
      <c r="BD35" s="10">
        <v>-275715</v>
      </c>
      <c r="BE35" s="10">
        <v>-586514</v>
      </c>
      <c r="BF35" s="10">
        <v>76042</v>
      </c>
      <c r="BG35" s="10">
        <v>188101</v>
      </c>
      <c r="BH35" s="10">
        <v>24628</v>
      </c>
      <c r="BI35" s="10">
        <v>66166</v>
      </c>
      <c r="BJ35" s="10"/>
      <c r="BK35" s="10"/>
      <c r="BL35" s="10">
        <v>202263</v>
      </c>
      <c r="BM35" s="10">
        <v>480579</v>
      </c>
      <c r="BN35" s="10">
        <v>457381</v>
      </c>
      <c r="BO35" s="10">
        <v>1939644</v>
      </c>
      <c r="BP35" s="10">
        <v>9683</v>
      </c>
      <c r="BQ35" s="10">
        <v>55261</v>
      </c>
      <c r="BR35" s="85">
        <f t="shared" si="6"/>
        <v>2509710.9974790933</v>
      </c>
      <c r="BS35" s="85">
        <f t="shared" si="7"/>
        <v>9321444.7766587771</v>
      </c>
    </row>
    <row r="36" spans="1:71" x14ac:dyDescent="0.25">
      <c r="A36" s="10" t="s">
        <v>242</v>
      </c>
      <c r="B36" s="10"/>
      <c r="C36" s="10"/>
      <c r="D36" s="10"/>
      <c r="E36" s="10"/>
      <c r="F36" s="10"/>
      <c r="G36" s="10"/>
      <c r="H36" s="10"/>
      <c r="I36" s="10"/>
      <c r="J36" s="10">
        <v>63636</v>
      </c>
      <c r="K36" s="10">
        <v>209452</v>
      </c>
      <c r="L36" s="10">
        <v>17596</v>
      </c>
      <c r="M36" s="10">
        <v>57643</v>
      </c>
      <c r="N36" s="10">
        <v>33567</v>
      </c>
      <c r="O36" s="10">
        <v>95897</v>
      </c>
      <c r="P36" s="10">
        <v>204</v>
      </c>
      <c r="Q36" s="10">
        <v>717</v>
      </c>
      <c r="R36" s="10">
        <v>840</v>
      </c>
      <c r="S36" s="10">
        <v>2661</v>
      </c>
      <c r="T36" s="10"/>
      <c r="U36" s="10"/>
      <c r="V36" s="10">
        <v>22193</v>
      </c>
      <c r="W36" s="10">
        <v>86329</v>
      </c>
      <c r="X36" s="10">
        <v>2438</v>
      </c>
      <c r="Y36" s="10">
        <v>8006</v>
      </c>
      <c r="Z36" s="10">
        <v>119852</v>
      </c>
      <c r="AA36" s="10">
        <v>399767</v>
      </c>
      <c r="AB36" s="10">
        <v>310388</v>
      </c>
      <c r="AC36" s="10">
        <v>889655</v>
      </c>
      <c r="AD36" s="10">
        <v>55420</v>
      </c>
      <c r="AE36" s="10">
        <v>135938</v>
      </c>
      <c r="AF36" s="10">
        <v>1433</v>
      </c>
      <c r="AG36" s="10">
        <v>4741</v>
      </c>
      <c r="AH36" s="10">
        <v>22447</v>
      </c>
      <c r="AI36" s="10">
        <v>63877</v>
      </c>
      <c r="AJ36" s="10">
        <v>4311</v>
      </c>
      <c r="AK36" s="10">
        <v>12183</v>
      </c>
      <c r="AL36" s="10"/>
      <c r="AM36" s="10"/>
      <c r="AN36" s="10"/>
      <c r="AO36" s="10"/>
      <c r="AP36" s="10">
        <v>545456.81462503271</v>
      </c>
      <c r="AQ36" s="10">
        <v>1553824.8584955279</v>
      </c>
      <c r="AR36" s="10">
        <v>960962</v>
      </c>
      <c r="AS36" s="10">
        <v>2598533</v>
      </c>
      <c r="AT36" s="10">
        <v>457660</v>
      </c>
      <c r="AU36" s="10">
        <v>1447492</v>
      </c>
      <c r="AV36" s="10">
        <v>572</v>
      </c>
      <c r="AW36" s="10">
        <v>1509</v>
      </c>
      <c r="AX36" s="10">
        <v>83250</v>
      </c>
      <c r="AY36" s="10">
        <v>292235</v>
      </c>
      <c r="AZ36" s="10"/>
      <c r="BA36" s="10"/>
      <c r="BB36" s="10"/>
      <c r="BC36" s="10"/>
      <c r="BD36" s="10">
        <v>31167</v>
      </c>
      <c r="BE36" s="10">
        <v>105198</v>
      </c>
      <c r="BF36" s="10">
        <v>32766</v>
      </c>
      <c r="BG36" s="10">
        <v>95885</v>
      </c>
      <c r="BH36" s="10">
        <v>27556</v>
      </c>
      <c r="BI36" s="10">
        <v>80691</v>
      </c>
      <c r="BJ36" s="10"/>
      <c r="BK36" s="10"/>
      <c r="BL36" s="10">
        <v>8243</v>
      </c>
      <c r="BM36" s="10">
        <v>30908</v>
      </c>
      <c r="BN36" s="10">
        <v>456999</v>
      </c>
      <c r="BO36" s="10">
        <v>1108008</v>
      </c>
      <c r="BP36" s="10">
        <v>9514</v>
      </c>
      <c r="BQ36" s="10">
        <v>11810</v>
      </c>
      <c r="BR36" s="85">
        <f t="shared" si="6"/>
        <v>3268470.8146250327</v>
      </c>
      <c r="BS36" s="85">
        <f t="shared" si="7"/>
        <v>9292959.8584955279</v>
      </c>
    </row>
    <row r="37" spans="1:71" x14ac:dyDescent="0.25">
      <c r="A37" s="10" t="s">
        <v>243</v>
      </c>
      <c r="B37" s="10"/>
      <c r="C37" s="10"/>
      <c r="D37" s="10"/>
      <c r="E37" s="10"/>
      <c r="F37" s="10"/>
      <c r="G37" s="10"/>
      <c r="H37" s="10"/>
      <c r="I37" s="10"/>
      <c r="J37" s="10">
        <v>65364</v>
      </c>
      <c r="K37" s="10">
        <v>223033</v>
      </c>
      <c r="L37" s="10">
        <v>20152</v>
      </c>
      <c r="M37" s="10">
        <v>57408</v>
      </c>
      <c r="N37" s="10">
        <v>33013</v>
      </c>
      <c r="O37" s="10">
        <v>88238</v>
      </c>
      <c r="P37" s="10">
        <v>226</v>
      </c>
      <c r="Q37" s="10">
        <v>1011</v>
      </c>
      <c r="R37" s="10">
        <v>571</v>
      </c>
      <c r="S37" s="10">
        <v>2230</v>
      </c>
      <c r="T37" s="10"/>
      <c r="U37" s="10"/>
      <c r="V37" s="10">
        <v>18523</v>
      </c>
      <c r="W37" s="10">
        <v>71859</v>
      </c>
      <c r="X37" s="10">
        <v>503</v>
      </c>
      <c r="Y37" s="10">
        <v>5679</v>
      </c>
      <c r="Z37" s="10">
        <v>131239</v>
      </c>
      <c r="AA37" s="10">
        <v>325132</v>
      </c>
      <c r="AB37" s="10">
        <v>274499</v>
      </c>
      <c r="AC37" s="10">
        <v>734097</v>
      </c>
      <c r="AD37" s="10">
        <v>51858</v>
      </c>
      <c r="AE37" s="10">
        <v>155956</v>
      </c>
      <c r="AF37" s="10">
        <v>1357</v>
      </c>
      <c r="AG37" s="10">
        <v>4202</v>
      </c>
      <c r="AH37" s="10">
        <v>21559</v>
      </c>
      <c r="AI37" s="10">
        <v>69422</v>
      </c>
      <c r="AJ37" s="10">
        <v>4387</v>
      </c>
      <c r="AK37" s="10">
        <v>12717</v>
      </c>
      <c r="AL37" s="10"/>
      <c r="AM37" s="10"/>
      <c r="AN37" s="10"/>
      <c r="AO37" s="10"/>
      <c r="AP37" s="10">
        <v>504865.7066250327</v>
      </c>
      <c r="AQ37" s="10">
        <v>1421779.5804955279</v>
      </c>
      <c r="AR37" s="10">
        <v>873874</v>
      </c>
      <c r="AS37" s="10">
        <v>2405965</v>
      </c>
      <c r="AT37" s="10">
        <v>481117</v>
      </c>
      <c r="AU37" s="10">
        <v>1468492</v>
      </c>
      <c r="AV37" s="10">
        <v>544</v>
      </c>
      <c r="AW37" s="10">
        <v>1617</v>
      </c>
      <c r="AX37" s="10">
        <v>85782</v>
      </c>
      <c r="AY37" s="10">
        <v>254248</v>
      </c>
      <c r="AZ37" s="10"/>
      <c r="BA37" s="10"/>
      <c r="BB37" s="10"/>
      <c r="BC37" s="10"/>
      <c r="BD37" s="10">
        <v>35804</v>
      </c>
      <c r="BE37" s="10">
        <v>101145</v>
      </c>
      <c r="BF37" s="10">
        <v>29266</v>
      </c>
      <c r="BG37" s="10">
        <v>81351</v>
      </c>
      <c r="BH37" s="10">
        <v>25997</v>
      </c>
      <c r="BI37" s="10">
        <v>73039</v>
      </c>
      <c r="BJ37" s="10"/>
      <c r="BK37" s="10"/>
      <c r="BL37" s="10">
        <v>9111</v>
      </c>
      <c r="BM37" s="10">
        <v>35644</v>
      </c>
      <c r="BN37" s="10">
        <v>461220</v>
      </c>
      <c r="BO37" s="10">
        <v>1231567</v>
      </c>
      <c r="BP37" s="10">
        <v>10223</v>
      </c>
      <c r="BQ37" s="10">
        <v>20805</v>
      </c>
      <c r="BR37" s="85">
        <f t="shared" si="6"/>
        <v>3141054.7066250327</v>
      </c>
      <c r="BS37" s="85">
        <f t="shared" si="7"/>
        <v>8846636.5804955289</v>
      </c>
    </row>
    <row r="39" spans="1:71" x14ac:dyDescent="0.25">
      <c r="A39" s="29" t="s">
        <v>233</v>
      </c>
    </row>
    <row r="40" spans="1:71" x14ac:dyDescent="0.25">
      <c r="A40" s="1" t="s">
        <v>0</v>
      </c>
      <c r="B40" s="107" t="s">
        <v>1</v>
      </c>
      <c r="C40" s="108"/>
      <c r="D40" s="107" t="s">
        <v>2</v>
      </c>
      <c r="E40" s="108"/>
      <c r="F40" s="107" t="s">
        <v>3</v>
      </c>
      <c r="G40" s="108"/>
      <c r="H40" s="107" t="s">
        <v>307</v>
      </c>
      <c r="I40" s="108"/>
      <c r="J40" s="107" t="s">
        <v>5</v>
      </c>
      <c r="K40" s="108"/>
      <c r="L40" s="107" t="s">
        <v>6</v>
      </c>
      <c r="M40" s="108"/>
      <c r="N40" s="107" t="s">
        <v>7</v>
      </c>
      <c r="O40" s="108"/>
      <c r="P40" s="107" t="s">
        <v>8</v>
      </c>
      <c r="Q40" s="108"/>
      <c r="R40" s="107" t="s">
        <v>9</v>
      </c>
      <c r="S40" s="108"/>
      <c r="T40" s="107" t="s">
        <v>10</v>
      </c>
      <c r="U40" s="108"/>
      <c r="V40" s="107" t="s">
        <v>11</v>
      </c>
      <c r="W40" s="108"/>
      <c r="X40" s="107" t="s">
        <v>12</v>
      </c>
      <c r="Y40" s="108"/>
      <c r="Z40" s="107" t="s">
        <v>13</v>
      </c>
      <c r="AA40" s="108"/>
      <c r="AB40" s="107" t="s">
        <v>14</v>
      </c>
      <c r="AC40" s="108"/>
      <c r="AD40" s="107" t="s">
        <v>15</v>
      </c>
      <c r="AE40" s="108"/>
      <c r="AF40" s="107" t="s">
        <v>16</v>
      </c>
      <c r="AG40" s="108"/>
      <c r="AH40" s="107" t="s">
        <v>17</v>
      </c>
      <c r="AI40" s="108"/>
      <c r="AJ40" s="107" t="s">
        <v>18</v>
      </c>
      <c r="AK40" s="108"/>
      <c r="AL40" s="107" t="s">
        <v>296</v>
      </c>
      <c r="AM40" s="108"/>
      <c r="AN40" s="107" t="s">
        <v>19</v>
      </c>
      <c r="AO40" s="108"/>
      <c r="AP40" s="107" t="s">
        <v>20</v>
      </c>
      <c r="AQ40" s="108"/>
      <c r="AR40" s="107" t="s">
        <v>21</v>
      </c>
      <c r="AS40" s="108"/>
      <c r="AT40" s="107" t="s">
        <v>22</v>
      </c>
      <c r="AU40" s="108"/>
      <c r="AV40" s="107" t="s">
        <v>23</v>
      </c>
      <c r="AW40" s="108"/>
      <c r="AX40" s="107" t="s">
        <v>24</v>
      </c>
      <c r="AY40" s="108"/>
      <c r="AZ40" s="107" t="s">
        <v>25</v>
      </c>
      <c r="BA40" s="108"/>
      <c r="BB40" s="107" t="s">
        <v>26</v>
      </c>
      <c r="BC40" s="108"/>
      <c r="BD40" s="107" t="s">
        <v>27</v>
      </c>
      <c r="BE40" s="108"/>
      <c r="BF40" s="107" t="s">
        <v>28</v>
      </c>
      <c r="BG40" s="108"/>
      <c r="BH40" s="107" t="s">
        <v>29</v>
      </c>
      <c r="BI40" s="108"/>
      <c r="BJ40" s="107" t="s">
        <v>30</v>
      </c>
      <c r="BK40" s="108"/>
      <c r="BL40" s="107" t="s">
        <v>31</v>
      </c>
      <c r="BM40" s="108"/>
      <c r="BN40" s="111" t="s">
        <v>32</v>
      </c>
      <c r="BO40" s="112"/>
      <c r="BP40" s="107" t="s">
        <v>33</v>
      </c>
      <c r="BQ40" s="108"/>
      <c r="BR40" s="109" t="s">
        <v>34</v>
      </c>
      <c r="BS40" s="110"/>
    </row>
    <row r="41" spans="1:71" ht="30" x14ac:dyDescent="0.25">
      <c r="A41" s="1"/>
      <c r="B41" s="66" t="s">
        <v>294</v>
      </c>
      <c r="C41" s="67" t="s">
        <v>295</v>
      </c>
      <c r="D41" s="66" t="s">
        <v>294</v>
      </c>
      <c r="E41" s="67" t="s">
        <v>295</v>
      </c>
      <c r="F41" s="66" t="s">
        <v>294</v>
      </c>
      <c r="G41" s="67" t="s">
        <v>295</v>
      </c>
      <c r="H41" s="66" t="s">
        <v>294</v>
      </c>
      <c r="I41" s="67" t="s">
        <v>295</v>
      </c>
      <c r="J41" s="66" t="s">
        <v>294</v>
      </c>
      <c r="K41" s="67" t="s">
        <v>295</v>
      </c>
      <c r="L41" s="66" t="s">
        <v>294</v>
      </c>
      <c r="M41" s="67" t="s">
        <v>295</v>
      </c>
      <c r="N41" s="66" t="s">
        <v>294</v>
      </c>
      <c r="O41" s="67" t="s">
        <v>295</v>
      </c>
      <c r="P41" s="66" t="s">
        <v>294</v>
      </c>
      <c r="Q41" s="67" t="s">
        <v>295</v>
      </c>
      <c r="R41" s="66" t="s">
        <v>294</v>
      </c>
      <c r="S41" s="67" t="s">
        <v>295</v>
      </c>
      <c r="T41" s="66" t="s">
        <v>294</v>
      </c>
      <c r="U41" s="67" t="s">
        <v>295</v>
      </c>
      <c r="V41" s="66" t="s">
        <v>294</v>
      </c>
      <c r="W41" s="67" t="s">
        <v>295</v>
      </c>
      <c r="X41" s="66" t="s">
        <v>294</v>
      </c>
      <c r="Y41" s="67" t="s">
        <v>295</v>
      </c>
      <c r="Z41" s="66" t="s">
        <v>294</v>
      </c>
      <c r="AA41" s="67" t="s">
        <v>295</v>
      </c>
      <c r="AB41" s="66" t="s">
        <v>294</v>
      </c>
      <c r="AC41" s="67" t="s">
        <v>295</v>
      </c>
      <c r="AD41" s="66" t="s">
        <v>294</v>
      </c>
      <c r="AE41" s="67" t="s">
        <v>295</v>
      </c>
      <c r="AF41" s="66" t="s">
        <v>294</v>
      </c>
      <c r="AG41" s="67" t="s">
        <v>295</v>
      </c>
      <c r="AH41" s="66" t="s">
        <v>294</v>
      </c>
      <c r="AI41" s="67" t="s">
        <v>295</v>
      </c>
      <c r="AJ41" s="66" t="s">
        <v>294</v>
      </c>
      <c r="AK41" s="67" t="s">
        <v>295</v>
      </c>
      <c r="AL41" s="66" t="s">
        <v>294</v>
      </c>
      <c r="AM41" s="67" t="s">
        <v>295</v>
      </c>
      <c r="AN41" s="66" t="s">
        <v>294</v>
      </c>
      <c r="AO41" s="67" t="s">
        <v>295</v>
      </c>
      <c r="AP41" s="66" t="s">
        <v>294</v>
      </c>
      <c r="AQ41" s="67" t="s">
        <v>295</v>
      </c>
      <c r="AR41" s="66" t="s">
        <v>294</v>
      </c>
      <c r="AS41" s="67" t="s">
        <v>295</v>
      </c>
      <c r="AT41" s="66" t="s">
        <v>294</v>
      </c>
      <c r="AU41" s="67" t="s">
        <v>295</v>
      </c>
      <c r="AV41" s="66" t="s">
        <v>294</v>
      </c>
      <c r="AW41" s="67" t="s">
        <v>295</v>
      </c>
      <c r="AX41" s="66" t="s">
        <v>294</v>
      </c>
      <c r="AY41" s="67" t="s">
        <v>295</v>
      </c>
      <c r="AZ41" s="66" t="s">
        <v>294</v>
      </c>
      <c r="BA41" s="67" t="s">
        <v>295</v>
      </c>
      <c r="BB41" s="66" t="s">
        <v>294</v>
      </c>
      <c r="BC41" s="67" t="s">
        <v>295</v>
      </c>
      <c r="BD41" s="66" t="s">
        <v>294</v>
      </c>
      <c r="BE41" s="67" t="s">
        <v>295</v>
      </c>
      <c r="BF41" s="66" t="s">
        <v>294</v>
      </c>
      <c r="BG41" s="67" t="s">
        <v>295</v>
      </c>
      <c r="BH41" s="66" t="s">
        <v>294</v>
      </c>
      <c r="BI41" s="67" t="s">
        <v>295</v>
      </c>
      <c r="BJ41" s="66" t="s">
        <v>294</v>
      </c>
      <c r="BK41" s="67" t="s">
        <v>295</v>
      </c>
      <c r="BL41" s="66" t="s">
        <v>294</v>
      </c>
      <c r="BM41" s="67" t="s">
        <v>295</v>
      </c>
      <c r="BN41" s="66" t="s">
        <v>294</v>
      </c>
      <c r="BO41" s="67" t="s">
        <v>295</v>
      </c>
      <c r="BP41" s="66" t="s">
        <v>294</v>
      </c>
      <c r="BQ41" s="67" t="s">
        <v>295</v>
      </c>
      <c r="BR41" s="66" t="s">
        <v>294</v>
      </c>
      <c r="BS41" s="67" t="s">
        <v>295</v>
      </c>
    </row>
    <row r="42" spans="1:71" x14ac:dyDescent="0.25">
      <c r="A42" s="10" t="s">
        <v>284</v>
      </c>
      <c r="B42" s="10">
        <v>240627</v>
      </c>
      <c r="C42" s="10">
        <v>641238</v>
      </c>
      <c r="D42" s="10">
        <v>2000232</v>
      </c>
      <c r="E42" s="10">
        <v>4667450</v>
      </c>
      <c r="F42" s="10"/>
      <c r="G42" s="10"/>
      <c r="H42" s="10">
        <v>5327945</v>
      </c>
      <c r="I42" s="10">
        <v>14861068</v>
      </c>
      <c r="J42" s="10">
        <v>5717369</v>
      </c>
      <c r="K42" s="10">
        <v>17592040</v>
      </c>
      <c r="L42" s="10">
        <v>900860</v>
      </c>
      <c r="M42" s="10">
        <v>2881272</v>
      </c>
      <c r="N42" s="10">
        <v>754616</v>
      </c>
      <c r="O42" s="10">
        <v>2412161</v>
      </c>
      <c r="P42" s="10">
        <v>59751</v>
      </c>
      <c r="Q42" s="10">
        <v>258995</v>
      </c>
      <c r="R42" s="10">
        <v>115201</v>
      </c>
      <c r="S42" s="10">
        <v>473528</v>
      </c>
      <c r="T42" s="10"/>
      <c r="U42" s="10"/>
      <c r="V42" s="10">
        <v>965146</v>
      </c>
      <c r="W42" s="10">
        <v>2441021</v>
      </c>
      <c r="X42" s="10">
        <v>94940</v>
      </c>
      <c r="Y42" s="10">
        <v>224138</v>
      </c>
      <c r="Z42" s="10">
        <v>3234326</v>
      </c>
      <c r="AA42" s="10">
        <v>9324333</v>
      </c>
      <c r="AB42" s="10">
        <v>6860131</v>
      </c>
      <c r="AC42" s="10">
        <v>21160317</v>
      </c>
      <c r="AD42" s="10">
        <v>2270884</v>
      </c>
      <c r="AE42" s="10">
        <v>9835496</v>
      </c>
      <c r="AF42" s="10">
        <v>320065</v>
      </c>
      <c r="AG42" s="10">
        <v>737793</v>
      </c>
      <c r="AH42" s="10">
        <v>439352</v>
      </c>
      <c r="AI42" s="10">
        <v>1801026</v>
      </c>
      <c r="AJ42" s="10">
        <v>117733</v>
      </c>
      <c r="AK42" s="10">
        <v>331061</v>
      </c>
      <c r="AL42" s="10">
        <v>1607997</v>
      </c>
      <c r="AM42" s="10">
        <v>4098650</v>
      </c>
      <c r="AN42" s="10">
        <v>2845367</v>
      </c>
      <c r="AO42" s="10">
        <v>7900779</v>
      </c>
      <c r="AP42" s="10">
        <v>9230340.4987937957</v>
      </c>
      <c r="AQ42" s="10">
        <v>38052987.518767655</v>
      </c>
      <c r="AR42" s="10">
        <v>21778670</v>
      </c>
      <c r="AS42" s="10">
        <v>73275693</v>
      </c>
      <c r="AT42" s="10">
        <v>11302738</v>
      </c>
      <c r="AU42" s="10">
        <v>32298030</v>
      </c>
      <c r="AV42" s="10">
        <v>2768</v>
      </c>
      <c r="AW42" s="10">
        <v>3589</v>
      </c>
      <c r="AX42" s="10">
        <v>2885969</v>
      </c>
      <c r="AY42" s="10">
        <v>12313279</v>
      </c>
      <c r="AZ42" s="10"/>
      <c r="BA42" s="10"/>
      <c r="BB42" s="10">
        <v>5518720</v>
      </c>
      <c r="BC42" s="10">
        <v>16266797</v>
      </c>
      <c r="BD42" s="10">
        <v>948309</v>
      </c>
      <c r="BE42" s="10">
        <v>2944390</v>
      </c>
      <c r="BF42" s="10">
        <v>1380512</v>
      </c>
      <c r="BG42" s="10">
        <v>4899778</v>
      </c>
      <c r="BH42" s="10">
        <v>8195</v>
      </c>
      <c r="BI42" s="10">
        <v>12898</v>
      </c>
      <c r="BJ42" s="10"/>
      <c r="BK42" s="10"/>
      <c r="BL42" s="10">
        <v>2357496</v>
      </c>
      <c r="BM42" s="10">
        <v>7634930</v>
      </c>
      <c r="BN42" s="10">
        <v>14937663</v>
      </c>
      <c r="BO42" s="10">
        <v>35448197</v>
      </c>
      <c r="BP42" s="10">
        <v>336930</v>
      </c>
      <c r="BQ42" s="10">
        <v>1217248</v>
      </c>
      <c r="BR42" s="85">
        <f t="shared" ref="BR42:BR46" si="8">SUM(B42+D42+F42+H42+J42+L42+N42+P42+R42+T42+V42+X42+Z42+AB42+AD42+AF42+AH42+AJ42+AL42+AN42+AP42+AR42+AT42+AV42+AX42+AZ42+BB42+BD42+BF42+BH42+BJ42+BL42+BN42+BP42)</f>
        <v>104560852.4987938</v>
      </c>
      <c r="BS42" s="85">
        <f t="shared" ref="BS42:BS46" si="9">SUM(C42+E42+G42+I42+K42+M42+O42+Q42+S42+U42+W42+Y42+AA42+AC42+AE42+AG42+AI42+AK42+AM42+AO42+AQ42+AS42+AU42+AW42+AY42+BA42+BC42+BE42+BG42+BI42+BK42+BM42+BO42+BQ42)</f>
        <v>326010182.51876765</v>
      </c>
    </row>
    <row r="43" spans="1:71" x14ac:dyDescent="0.25">
      <c r="A43" s="10" t="s">
        <v>287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>
        <v>8133</v>
      </c>
      <c r="S43" s="10">
        <v>27400</v>
      </c>
      <c r="T43" s="10"/>
      <c r="U43" s="10"/>
      <c r="V43" s="10"/>
      <c r="W43" s="10"/>
      <c r="X43" s="10"/>
      <c r="Y43" s="10"/>
      <c r="Z43" s="10"/>
      <c r="AA43" s="10"/>
      <c r="AB43" s="10">
        <v>296983</v>
      </c>
      <c r="AC43" s="10">
        <v>920809</v>
      </c>
      <c r="AD43" s="10">
        <v>8860</v>
      </c>
      <c r="AE43" s="10">
        <v>8860</v>
      </c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>
        <v>0</v>
      </c>
      <c r="AQ43" s="10">
        <v>0</v>
      </c>
      <c r="AR43" s="10">
        <v>119673</v>
      </c>
      <c r="AS43" s="10">
        <v>119673</v>
      </c>
      <c r="AT43" s="10">
        <v>-126</v>
      </c>
      <c r="AU43" s="10">
        <v>53917</v>
      </c>
      <c r="AV43" s="10"/>
      <c r="AW43" s="10"/>
      <c r="AX43" s="10"/>
      <c r="AY43" s="10"/>
      <c r="AZ43" s="10"/>
      <c r="BA43" s="10"/>
      <c r="BB43" s="10">
        <v>14476</v>
      </c>
      <c r="BC43" s="10">
        <v>94694</v>
      </c>
      <c r="BD43" s="10"/>
      <c r="BE43" s="10"/>
      <c r="BF43" s="10">
        <v>347267</v>
      </c>
      <c r="BG43" s="10">
        <v>347267</v>
      </c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85">
        <f t="shared" si="8"/>
        <v>795266</v>
      </c>
      <c r="BS43" s="85">
        <f t="shared" si="9"/>
        <v>1572620</v>
      </c>
    </row>
    <row r="44" spans="1:71" x14ac:dyDescent="0.25">
      <c r="A44" s="10" t="s">
        <v>288</v>
      </c>
      <c r="B44" s="10">
        <v>12032</v>
      </c>
      <c r="C44" s="10">
        <v>32060</v>
      </c>
      <c r="D44" s="10">
        <v>454972</v>
      </c>
      <c r="E44" s="10">
        <v>1048556</v>
      </c>
      <c r="F44" s="10"/>
      <c r="G44" s="10"/>
      <c r="H44" s="10">
        <v>1302790</v>
      </c>
      <c r="I44" s="10">
        <v>3534381</v>
      </c>
      <c r="J44" s="10">
        <v>1328237</v>
      </c>
      <c r="K44" s="10">
        <v>4799417</v>
      </c>
      <c r="L44" s="10">
        <v>200832</v>
      </c>
      <c r="M44" s="10">
        <v>489945</v>
      </c>
      <c r="N44" s="10">
        <v>158904</v>
      </c>
      <c r="O44" s="10">
        <v>534996</v>
      </c>
      <c r="P44" s="10">
        <v>-20289</v>
      </c>
      <c r="Q44" s="10">
        <v>-59500</v>
      </c>
      <c r="R44" s="10">
        <v>5183</v>
      </c>
      <c r="S44" s="10">
        <v>91819</v>
      </c>
      <c r="T44" s="10"/>
      <c r="U44" s="10"/>
      <c r="V44" s="10">
        <v>424947</v>
      </c>
      <c r="W44" s="10">
        <v>683786</v>
      </c>
      <c r="X44" s="10">
        <v>4747</v>
      </c>
      <c r="Y44" s="10">
        <v>11207</v>
      </c>
      <c r="Z44" s="10">
        <v>-1407136</v>
      </c>
      <c r="AA44" s="10">
        <v>-4162125</v>
      </c>
      <c r="AB44" s="10">
        <v>2562683</v>
      </c>
      <c r="AC44" s="10">
        <v>7229076</v>
      </c>
      <c r="AD44" s="10">
        <v>413416</v>
      </c>
      <c r="AE44" s="10">
        <v>1543082</v>
      </c>
      <c r="AF44" s="10">
        <v>22108</v>
      </c>
      <c r="AG44" s="10">
        <v>56729</v>
      </c>
      <c r="AH44" s="10">
        <v>30630</v>
      </c>
      <c r="AI44" s="10">
        <v>121403</v>
      </c>
      <c r="AJ44" s="10">
        <v>-41447</v>
      </c>
      <c r="AK44" s="10">
        <v>-129918</v>
      </c>
      <c r="AL44" s="10">
        <v>81667</v>
      </c>
      <c r="AM44" s="10">
        <v>208272</v>
      </c>
      <c r="AN44" s="10">
        <v>676543</v>
      </c>
      <c r="AO44" s="10">
        <v>1870102</v>
      </c>
      <c r="AP44" s="10">
        <v>3175550.6786717214</v>
      </c>
      <c r="AQ44" s="10">
        <v>16273712.937650088</v>
      </c>
      <c r="AR44" s="10">
        <v>1005776</v>
      </c>
      <c r="AS44" s="10">
        <v>7241388</v>
      </c>
      <c r="AT44" s="10">
        <v>570250</v>
      </c>
      <c r="AU44" s="10">
        <v>1592983</v>
      </c>
      <c r="AV44" s="10">
        <v>138</v>
      </c>
      <c r="AW44" s="10">
        <v>179</v>
      </c>
      <c r="AX44" s="10">
        <v>606598</v>
      </c>
      <c r="AY44" s="10">
        <v>2662692</v>
      </c>
      <c r="AZ44" s="10"/>
      <c r="BA44" s="10"/>
      <c r="BB44" s="10">
        <v>2175249</v>
      </c>
      <c r="BC44" s="10">
        <v>6113346</v>
      </c>
      <c r="BD44" s="10">
        <v>-184888</v>
      </c>
      <c r="BE44" s="10">
        <v>-574070</v>
      </c>
      <c r="BF44" s="10">
        <v>69026</v>
      </c>
      <c r="BG44" s="10">
        <v>244989</v>
      </c>
      <c r="BH44" s="10">
        <v>2063</v>
      </c>
      <c r="BI44" s="10">
        <v>3629</v>
      </c>
      <c r="BJ44" s="10"/>
      <c r="BK44" s="10"/>
      <c r="BL44" s="10">
        <v>611781</v>
      </c>
      <c r="BM44" s="10">
        <v>2001642</v>
      </c>
      <c r="BN44" s="10">
        <v>746841</v>
      </c>
      <c r="BO44" s="10">
        <v>2282125</v>
      </c>
      <c r="BP44" s="10">
        <v>18656</v>
      </c>
      <c r="BQ44" s="10">
        <v>72762</v>
      </c>
      <c r="BR44" s="85">
        <f t="shared" si="8"/>
        <v>15007859.678671721</v>
      </c>
      <c r="BS44" s="85">
        <f t="shared" si="9"/>
        <v>55818665.937650084</v>
      </c>
    </row>
    <row r="45" spans="1:71" x14ac:dyDescent="0.25">
      <c r="A45" s="10" t="s">
        <v>242</v>
      </c>
      <c r="B45" s="10">
        <v>228595</v>
      </c>
      <c r="C45" s="10">
        <v>609178</v>
      </c>
      <c r="D45" s="10">
        <v>1545260</v>
      </c>
      <c r="E45" s="10">
        <v>3618894</v>
      </c>
      <c r="F45" s="10"/>
      <c r="G45" s="10"/>
      <c r="H45" s="10">
        <v>4025155</v>
      </c>
      <c r="I45" s="10">
        <v>11326687</v>
      </c>
      <c r="J45" s="10">
        <v>4389132</v>
      </c>
      <c r="K45" s="10">
        <v>12792623</v>
      </c>
      <c r="L45" s="10">
        <v>700027</v>
      </c>
      <c r="M45" s="10">
        <v>2391327</v>
      </c>
      <c r="N45" s="10">
        <v>595712</v>
      </c>
      <c r="O45" s="10">
        <v>1877165</v>
      </c>
      <c r="P45" s="10">
        <v>39462</v>
      </c>
      <c r="Q45" s="10">
        <v>199495</v>
      </c>
      <c r="R45" s="10">
        <v>118151</v>
      </c>
      <c r="S45" s="10">
        <v>409109</v>
      </c>
      <c r="T45" s="10"/>
      <c r="U45" s="10"/>
      <c r="V45" s="10">
        <v>540199</v>
      </c>
      <c r="W45" s="10">
        <v>1757235</v>
      </c>
      <c r="X45" s="10">
        <v>90193</v>
      </c>
      <c r="Y45" s="10">
        <v>212931</v>
      </c>
      <c r="Z45" s="10">
        <v>1827190</v>
      </c>
      <c r="AA45" s="10">
        <v>5162208</v>
      </c>
      <c r="AB45" s="10">
        <v>4594431</v>
      </c>
      <c r="AC45" s="10">
        <v>14852050</v>
      </c>
      <c r="AD45" s="10">
        <v>1866328</v>
      </c>
      <c r="AE45" s="10">
        <v>8301274</v>
      </c>
      <c r="AF45" s="10">
        <v>297957</v>
      </c>
      <c r="AG45" s="10">
        <v>681064</v>
      </c>
      <c r="AH45" s="10">
        <v>408722</v>
      </c>
      <c r="AI45" s="10">
        <v>1679623</v>
      </c>
      <c r="AJ45" s="10">
        <v>76286</v>
      </c>
      <c r="AK45" s="10">
        <v>201143</v>
      </c>
      <c r="AL45" s="10">
        <v>1526330</v>
      </c>
      <c r="AM45" s="10">
        <v>3890378</v>
      </c>
      <c r="AN45" s="10">
        <v>2168824</v>
      </c>
      <c r="AO45" s="10">
        <v>6030677</v>
      </c>
      <c r="AP45" s="10">
        <v>6054789.8201220743</v>
      </c>
      <c r="AQ45" s="10">
        <v>21779274.581117567</v>
      </c>
      <c r="AR45" s="10">
        <v>20892567</v>
      </c>
      <c r="AS45" s="10">
        <v>66153978</v>
      </c>
      <c r="AT45" s="10">
        <v>10732362</v>
      </c>
      <c r="AU45" s="10">
        <v>30758964</v>
      </c>
      <c r="AV45" s="10">
        <v>2629</v>
      </c>
      <c r="AW45" s="10">
        <v>3410</v>
      </c>
      <c r="AX45" s="10">
        <v>2279371</v>
      </c>
      <c r="AY45" s="10">
        <v>9650587</v>
      </c>
      <c r="AZ45" s="10"/>
      <c r="BA45" s="10"/>
      <c r="BB45" s="10">
        <v>3622830</v>
      </c>
      <c r="BC45" s="10">
        <v>10410198</v>
      </c>
      <c r="BD45" s="10">
        <v>763421</v>
      </c>
      <c r="BE45" s="10">
        <v>2370320</v>
      </c>
      <c r="BF45" s="10">
        <v>1658753</v>
      </c>
      <c r="BG45" s="10">
        <v>5002056</v>
      </c>
      <c r="BH45" s="10">
        <v>6132</v>
      </c>
      <c r="BI45" s="10">
        <v>9270</v>
      </c>
      <c r="BJ45" s="10"/>
      <c r="BK45" s="10"/>
      <c r="BL45" s="10">
        <v>1745715</v>
      </c>
      <c r="BM45" s="10">
        <v>5633288</v>
      </c>
      <c r="BN45" s="10">
        <v>14190822</v>
      </c>
      <c r="BO45" s="10">
        <v>33166072</v>
      </c>
      <c r="BP45" s="10">
        <v>318274</v>
      </c>
      <c r="BQ45" s="10">
        <v>1144486</v>
      </c>
      <c r="BR45" s="85">
        <f t="shared" si="8"/>
        <v>87305619.820122078</v>
      </c>
      <c r="BS45" s="85">
        <f t="shared" si="9"/>
        <v>262074964.58111757</v>
      </c>
    </row>
    <row r="46" spans="1:71" x14ac:dyDescent="0.25">
      <c r="A46" s="10" t="s">
        <v>243</v>
      </c>
      <c r="B46" s="10">
        <v>208011</v>
      </c>
      <c r="C46" s="10">
        <v>571655</v>
      </c>
      <c r="D46" s="10">
        <v>1344514</v>
      </c>
      <c r="E46" s="10">
        <v>3099845</v>
      </c>
      <c r="F46" s="10"/>
      <c r="G46" s="10"/>
      <c r="H46" s="10">
        <v>4497656</v>
      </c>
      <c r="I46" s="10">
        <v>10818165</v>
      </c>
      <c r="J46" s="10">
        <v>4406397</v>
      </c>
      <c r="K46" s="10">
        <v>13567809</v>
      </c>
      <c r="L46" s="10">
        <v>691374</v>
      </c>
      <c r="M46" s="10">
        <v>2084921</v>
      </c>
      <c r="N46" s="10">
        <v>680075</v>
      </c>
      <c r="O46" s="10">
        <v>2066278</v>
      </c>
      <c r="P46" s="10">
        <v>31236</v>
      </c>
      <c r="Q46" s="10">
        <v>321907</v>
      </c>
      <c r="R46" s="10">
        <v>120917</v>
      </c>
      <c r="S46" s="10">
        <v>364863</v>
      </c>
      <c r="T46" s="10"/>
      <c r="U46" s="10"/>
      <c r="V46" s="10">
        <v>680457</v>
      </c>
      <c r="W46" s="10">
        <v>1866297</v>
      </c>
      <c r="X46" s="10">
        <v>57112</v>
      </c>
      <c r="Y46" s="10">
        <v>168645</v>
      </c>
      <c r="Z46" s="10">
        <v>1828584</v>
      </c>
      <c r="AA46" s="10">
        <v>5357472</v>
      </c>
      <c r="AB46" s="10">
        <v>4865071</v>
      </c>
      <c r="AC46" s="10">
        <v>13919070</v>
      </c>
      <c r="AD46" s="10">
        <v>2609722</v>
      </c>
      <c r="AE46" s="10">
        <v>7360302</v>
      </c>
      <c r="AF46" s="10">
        <v>168450</v>
      </c>
      <c r="AG46" s="10">
        <v>446805</v>
      </c>
      <c r="AH46" s="10">
        <v>519430</v>
      </c>
      <c r="AI46" s="10">
        <v>1641128</v>
      </c>
      <c r="AJ46" s="10">
        <v>50272</v>
      </c>
      <c r="AK46" s="10">
        <v>225793</v>
      </c>
      <c r="AL46" s="10">
        <v>1276010</v>
      </c>
      <c r="AM46" s="10">
        <v>3573031</v>
      </c>
      <c r="AN46" s="10">
        <v>2079278</v>
      </c>
      <c r="AO46" s="10">
        <v>5104457</v>
      </c>
      <c r="AP46" s="10">
        <v>5534105.2111220742</v>
      </c>
      <c r="AQ46" s="10">
        <v>21923703.234117568</v>
      </c>
      <c r="AR46" s="10">
        <v>22137322</v>
      </c>
      <c r="AS46" s="10">
        <v>60005967</v>
      </c>
      <c r="AT46" s="10">
        <v>9434494</v>
      </c>
      <c r="AU46" s="10">
        <v>29024248</v>
      </c>
      <c r="AV46" s="10">
        <v>581</v>
      </c>
      <c r="AW46" s="10">
        <v>1197</v>
      </c>
      <c r="AX46" s="10">
        <v>3516661</v>
      </c>
      <c r="AY46" s="10">
        <v>8737029</v>
      </c>
      <c r="AZ46" s="10"/>
      <c r="BA46" s="10"/>
      <c r="BB46" s="10">
        <v>3488212</v>
      </c>
      <c r="BC46" s="10">
        <v>9690399</v>
      </c>
      <c r="BD46" s="10">
        <v>770443</v>
      </c>
      <c r="BE46" s="10">
        <v>2212618</v>
      </c>
      <c r="BF46" s="10">
        <v>1769593</v>
      </c>
      <c r="BG46" s="10">
        <v>4435005</v>
      </c>
      <c r="BH46" s="10">
        <v>1761</v>
      </c>
      <c r="BI46" s="10">
        <v>3946</v>
      </c>
      <c r="BJ46" s="10"/>
      <c r="BK46" s="10"/>
      <c r="BL46" s="10">
        <v>1704545</v>
      </c>
      <c r="BM46" s="10">
        <v>5108436</v>
      </c>
      <c r="BN46" s="10">
        <v>13714248</v>
      </c>
      <c r="BO46" s="10">
        <v>33078683</v>
      </c>
      <c r="BP46" s="10">
        <v>374308</v>
      </c>
      <c r="BQ46" s="10">
        <v>1068160</v>
      </c>
      <c r="BR46" s="85">
        <f t="shared" si="8"/>
        <v>88560839.211122066</v>
      </c>
      <c r="BS46" s="85">
        <f t="shared" si="9"/>
        <v>247847834.23411757</v>
      </c>
    </row>
    <row r="48" spans="1:71" x14ac:dyDescent="0.25">
      <c r="A48" s="29" t="s">
        <v>234</v>
      </c>
    </row>
    <row r="49" spans="1:71" x14ac:dyDescent="0.25">
      <c r="A49" s="1" t="s">
        <v>0</v>
      </c>
      <c r="B49" s="107" t="s">
        <v>1</v>
      </c>
      <c r="C49" s="108"/>
      <c r="D49" s="107" t="s">
        <v>2</v>
      </c>
      <c r="E49" s="108"/>
      <c r="F49" s="107" t="s">
        <v>3</v>
      </c>
      <c r="G49" s="108"/>
      <c r="H49" s="107" t="s">
        <v>307</v>
      </c>
      <c r="I49" s="108"/>
      <c r="J49" s="107" t="s">
        <v>5</v>
      </c>
      <c r="K49" s="108"/>
      <c r="L49" s="107" t="s">
        <v>6</v>
      </c>
      <c r="M49" s="108"/>
      <c r="N49" s="107" t="s">
        <v>7</v>
      </c>
      <c r="O49" s="108"/>
      <c r="P49" s="107" t="s">
        <v>8</v>
      </c>
      <c r="Q49" s="108"/>
      <c r="R49" s="107" t="s">
        <v>9</v>
      </c>
      <c r="S49" s="108"/>
      <c r="T49" s="107" t="s">
        <v>10</v>
      </c>
      <c r="U49" s="108"/>
      <c r="V49" s="107" t="s">
        <v>11</v>
      </c>
      <c r="W49" s="108"/>
      <c r="X49" s="107" t="s">
        <v>12</v>
      </c>
      <c r="Y49" s="108"/>
      <c r="Z49" s="107" t="s">
        <v>13</v>
      </c>
      <c r="AA49" s="108"/>
      <c r="AB49" s="107" t="s">
        <v>14</v>
      </c>
      <c r="AC49" s="108"/>
      <c r="AD49" s="107" t="s">
        <v>15</v>
      </c>
      <c r="AE49" s="108"/>
      <c r="AF49" s="107" t="s">
        <v>16</v>
      </c>
      <c r="AG49" s="108"/>
      <c r="AH49" s="107" t="s">
        <v>17</v>
      </c>
      <c r="AI49" s="108"/>
      <c r="AJ49" s="107" t="s">
        <v>18</v>
      </c>
      <c r="AK49" s="108"/>
      <c r="AL49" s="107" t="s">
        <v>296</v>
      </c>
      <c r="AM49" s="108"/>
      <c r="AN49" s="107" t="s">
        <v>19</v>
      </c>
      <c r="AO49" s="108"/>
      <c r="AP49" s="107" t="s">
        <v>20</v>
      </c>
      <c r="AQ49" s="108"/>
      <c r="AR49" s="107" t="s">
        <v>21</v>
      </c>
      <c r="AS49" s="108"/>
      <c r="AT49" s="107" t="s">
        <v>22</v>
      </c>
      <c r="AU49" s="108"/>
      <c r="AV49" s="107" t="s">
        <v>23</v>
      </c>
      <c r="AW49" s="108"/>
      <c r="AX49" s="107" t="s">
        <v>24</v>
      </c>
      <c r="AY49" s="108"/>
      <c r="AZ49" s="107" t="s">
        <v>25</v>
      </c>
      <c r="BA49" s="108"/>
      <c r="BB49" s="107" t="s">
        <v>26</v>
      </c>
      <c r="BC49" s="108"/>
      <c r="BD49" s="107" t="s">
        <v>27</v>
      </c>
      <c r="BE49" s="108"/>
      <c r="BF49" s="107" t="s">
        <v>28</v>
      </c>
      <c r="BG49" s="108"/>
      <c r="BH49" s="107" t="s">
        <v>29</v>
      </c>
      <c r="BI49" s="108"/>
      <c r="BJ49" s="107" t="s">
        <v>30</v>
      </c>
      <c r="BK49" s="108"/>
      <c r="BL49" s="107" t="s">
        <v>31</v>
      </c>
      <c r="BM49" s="108"/>
      <c r="BN49" s="111" t="s">
        <v>32</v>
      </c>
      <c r="BO49" s="112"/>
      <c r="BP49" s="107" t="s">
        <v>33</v>
      </c>
      <c r="BQ49" s="108"/>
      <c r="BR49" s="109" t="s">
        <v>34</v>
      </c>
      <c r="BS49" s="110"/>
    </row>
    <row r="50" spans="1:71" ht="30" x14ac:dyDescent="0.25">
      <c r="A50" s="1"/>
      <c r="B50" s="66" t="s">
        <v>294</v>
      </c>
      <c r="C50" s="67" t="s">
        <v>295</v>
      </c>
      <c r="D50" s="66" t="s">
        <v>294</v>
      </c>
      <c r="E50" s="67" t="s">
        <v>295</v>
      </c>
      <c r="F50" s="66" t="s">
        <v>294</v>
      </c>
      <c r="G50" s="67" t="s">
        <v>295</v>
      </c>
      <c r="H50" s="66" t="s">
        <v>294</v>
      </c>
      <c r="I50" s="67" t="s">
        <v>295</v>
      </c>
      <c r="J50" s="66" t="s">
        <v>294</v>
      </c>
      <c r="K50" s="67" t="s">
        <v>295</v>
      </c>
      <c r="L50" s="66" t="s">
        <v>294</v>
      </c>
      <c r="M50" s="67" t="s">
        <v>295</v>
      </c>
      <c r="N50" s="66" t="s">
        <v>294</v>
      </c>
      <c r="O50" s="67" t="s">
        <v>295</v>
      </c>
      <c r="P50" s="66" t="s">
        <v>294</v>
      </c>
      <c r="Q50" s="67" t="s">
        <v>295</v>
      </c>
      <c r="R50" s="66" t="s">
        <v>294</v>
      </c>
      <c r="S50" s="67" t="s">
        <v>295</v>
      </c>
      <c r="T50" s="66" t="s">
        <v>294</v>
      </c>
      <c r="U50" s="67" t="s">
        <v>295</v>
      </c>
      <c r="V50" s="66" t="s">
        <v>294</v>
      </c>
      <c r="W50" s="67" t="s">
        <v>295</v>
      </c>
      <c r="X50" s="66" t="s">
        <v>294</v>
      </c>
      <c r="Y50" s="67" t="s">
        <v>295</v>
      </c>
      <c r="Z50" s="66" t="s">
        <v>294</v>
      </c>
      <c r="AA50" s="67" t="s">
        <v>295</v>
      </c>
      <c r="AB50" s="66" t="s">
        <v>294</v>
      </c>
      <c r="AC50" s="67" t="s">
        <v>295</v>
      </c>
      <c r="AD50" s="66" t="s">
        <v>294</v>
      </c>
      <c r="AE50" s="67" t="s">
        <v>295</v>
      </c>
      <c r="AF50" s="66" t="s">
        <v>294</v>
      </c>
      <c r="AG50" s="67" t="s">
        <v>295</v>
      </c>
      <c r="AH50" s="66" t="s">
        <v>294</v>
      </c>
      <c r="AI50" s="67" t="s">
        <v>295</v>
      </c>
      <c r="AJ50" s="66" t="s">
        <v>294</v>
      </c>
      <c r="AK50" s="67" t="s">
        <v>295</v>
      </c>
      <c r="AL50" s="66" t="s">
        <v>294</v>
      </c>
      <c r="AM50" s="67" t="s">
        <v>295</v>
      </c>
      <c r="AN50" s="66" t="s">
        <v>294</v>
      </c>
      <c r="AO50" s="67" t="s">
        <v>295</v>
      </c>
      <c r="AP50" s="66" t="s">
        <v>294</v>
      </c>
      <c r="AQ50" s="67" t="s">
        <v>295</v>
      </c>
      <c r="AR50" s="66" t="s">
        <v>294</v>
      </c>
      <c r="AS50" s="67" t="s">
        <v>295</v>
      </c>
      <c r="AT50" s="66" t="s">
        <v>294</v>
      </c>
      <c r="AU50" s="67" t="s">
        <v>295</v>
      </c>
      <c r="AV50" s="66" t="s">
        <v>294</v>
      </c>
      <c r="AW50" s="67" t="s">
        <v>295</v>
      </c>
      <c r="AX50" s="66" t="s">
        <v>294</v>
      </c>
      <c r="AY50" s="67" t="s">
        <v>295</v>
      </c>
      <c r="AZ50" s="66" t="s">
        <v>294</v>
      </c>
      <c r="BA50" s="67" t="s">
        <v>295</v>
      </c>
      <c r="BB50" s="66" t="s">
        <v>294</v>
      </c>
      <c r="BC50" s="67" t="s">
        <v>295</v>
      </c>
      <c r="BD50" s="66" t="s">
        <v>294</v>
      </c>
      <c r="BE50" s="67" t="s">
        <v>295</v>
      </c>
      <c r="BF50" s="66" t="s">
        <v>294</v>
      </c>
      <c r="BG50" s="67" t="s">
        <v>295</v>
      </c>
      <c r="BH50" s="66" t="s">
        <v>294</v>
      </c>
      <c r="BI50" s="67" t="s">
        <v>295</v>
      </c>
      <c r="BJ50" s="66" t="s">
        <v>294</v>
      </c>
      <c r="BK50" s="67" t="s">
        <v>295</v>
      </c>
      <c r="BL50" s="66" t="s">
        <v>294</v>
      </c>
      <c r="BM50" s="67" t="s">
        <v>295</v>
      </c>
      <c r="BN50" s="66" t="s">
        <v>294</v>
      </c>
      <c r="BO50" s="67" t="s">
        <v>295</v>
      </c>
      <c r="BP50" s="66" t="s">
        <v>294</v>
      </c>
      <c r="BQ50" s="67" t="s">
        <v>295</v>
      </c>
      <c r="BR50" s="66" t="s">
        <v>294</v>
      </c>
      <c r="BS50" s="67" t="s">
        <v>295</v>
      </c>
    </row>
    <row r="51" spans="1:71" x14ac:dyDescent="0.25">
      <c r="A51" s="10" t="s">
        <v>284</v>
      </c>
      <c r="B51" s="10">
        <v>1701</v>
      </c>
      <c r="C51" s="10">
        <v>5735</v>
      </c>
      <c r="D51" s="10">
        <v>308432</v>
      </c>
      <c r="E51" s="10">
        <v>789877</v>
      </c>
      <c r="F51" s="10"/>
      <c r="G51" s="10"/>
      <c r="H51" s="10">
        <v>227574</v>
      </c>
      <c r="I51" s="10">
        <v>1118098</v>
      </c>
      <c r="J51" s="10">
        <v>726894</v>
      </c>
      <c r="K51" s="10">
        <v>2126744</v>
      </c>
      <c r="L51" s="10">
        <v>133795</v>
      </c>
      <c r="M51" s="10">
        <v>314694</v>
      </c>
      <c r="N51" s="10">
        <v>823111</v>
      </c>
      <c r="O51" s="10">
        <v>2340160</v>
      </c>
      <c r="P51" s="10">
        <v>15034</v>
      </c>
      <c r="Q51" s="10">
        <v>37512</v>
      </c>
      <c r="R51" s="10">
        <v>-20</v>
      </c>
      <c r="S51" s="10">
        <v>2378</v>
      </c>
      <c r="T51" s="10"/>
      <c r="U51" s="10"/>
      <c r="V51" s="10">
        <v>213759</v>
      </c>
      <c r="W51" s="10">
        <v>555744</v>
      </c>
      <c r="X51" s="10">
        <v>37448</v>
      </c>
      <c r="Y51" s="10">
        <v>83882</v>
      </c>
      <c r="Z51" s="10">
        <v>1813224</v>
      </c>
      <c r="AA51" s="10">
        <v>5094240</v>
      </c>
      <c r="AB51" s="10">
        <v>1342977</v>
      </c>
      <c r="AC51" s="10">
        <v>3923160</v>
      </c>
      <c r="AD51" s="10">
        <v>205301</v>
      </c>
      <c r="AE51" s="10">
        <v>708260</v>
      </c>
      <c r="AF51" s="10">
        <v>66797</v>
      </c>
      <c r="AG51" s="10">
        <v>191051</v>
      </c>
      <c r="AH51" s="10">
        <v>43587</v>
      </c>
      <c r="AI51" s="10">
        <v>151375</v>
      </c>
      <c r="AJ51" s="10">
        <v>14570</v>
      </c>
      <c r="AK51" s="10">
        <v>35550</v>
      </c>
      <c r="AL51" s="10">
        <v>16840</v>
      </c>
      <c r="AM51" s="10">
        <v>55149</v>
      </c>
      <c r="AN51" s="10">
        <v>173240</v>
      </c>
      <c r="AO51" s="10">
        <v>434477</v>
      </c>
      <c r="AP51" s="10">
        <v>289761.09400000004</v>
      </c>
      <c r="AQ51" s="10">
        <v>1504826.747</v>
      </c>
      <c r="AR51" s="10">
        <v>580426</v>
      </c>
      <c r="AS51" s="10">
        <v>2785676</v>
      </c>
      <c r="AT51" s="10">
        <v>541169</v>
      </c>
      <c r="AU51" s="10">
        <v>1827447</v>
      </c>
      <c r="AV51" s="10">
        <v>1939</v>
      </c>
      <c r="AW51" s="10">
        <v>2465</v>
      </c>
      <c r="AX51" s="10">
        <v>115944</v>
      </c>
      <c r="AY51" s="10">
        <v>454828</v>
      </c>
      <c r="AZ51" s="10"/>
      <c r="BA51" s="10"/>
      <c r="BB51" s="10">
        <v>365736</v>
      </c>
      <c r="BC51" s="10">
        <v>1048621</v>
      </c>
      <c r="BD51" s="10">
        <v>127243</v>
      </c>
      <c r="BE51" s="10">
        <v>435109</v>
      </c>
      <c r="BF51" s="10">
        <v>2064889</v>
      </c>
      <c r="BG51" s="10">
        <v>5502677</v>
      </c>
      <c r="BH51" s="10">
        <v>63947</v>
      </c>
      <c r="BI51" s="10">
        <v>121887</v>
      </c>
      <c r="BJ51" s="10"/>
      <c r="BK51" s="10"/>
      <c r="BL51" s="10">
        <v>266116</v>
      </c>
      <c r="BM51" s="10">
        <v>989691</v>
      </c>
      <c r="BN51" s="10">
        <v>1178784</v>
      </c>
      <c r="BO51" s="10">
        <v>3692731</v>
      </c>
      <c r="BP51" s="10">
        <v>1144615</v>
      </c>
      <c r="BQ51" s="10">
        <v>1445139</v>
      </c>
      <c r="BR51" s="85">
        <f>SUM(B51+D51+F51+H51+J51+L51+N51+P51+R51+T51+V51+X51+Z51+AB51+AD51+AF51+AH51+AJ51+AL51+AN51+AP51+AR51+AT51+AV51+AX51+AZ51+BB51+BD51+BF51+BH51+BJ51+BL51+BN51+BP51)</f>
        <v>12904833.094000001</v>
      </c>
      <c r="BS51" s="85">
        <f>SUM(C51+E51+G51+I51+K51+M51+O51+Q51+S51+U51+W51+Y51+AA51+AC51+AE51+AG51+AI51+AK51+AM51+AO51+AQ51+AS51+AU51+AW51+AY51+BA51+BC51+BE51+BG51+BI51+BK51+BM51+BO51+BQ51)</f>
        <v>37779183.747000001</v>
      </c>
    </row>
    <row r="52" spans="1:71" x14ac:dyDescent="0.25">
      <c r="A52" s="10" t="s">
        <v>287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>
        <v>318</v>
      </c>
      <c r="S52" s="10">
        <v>20687</v>
      </c>
      <c r="T52" s="10"/>
      <c r="U52" s="10"/>
      <c r="V52" s="10"/>
      <c r="W52" s="10"/>
      <c r="X52" s="10"/>
      <c r="Y52" s="10"/>
      <c r="Z52" s="10">
        <v>3600</v>
      </c>
      <c r="AA52" s="10">
        <v>14039</v>
      </c>
      <c r="AB52" s="10">
        <v>4299</v>
      </c>
      <c r="AC52" s="10">
        <v>10641</v>
      </c>
      <c r="AD52" s="10"/>
      <c r="AE52" s="10"/>
      <c r="AF52" s="10"/>
      <c r="AG52" s="10"/>
      <c r="AH52" s="10"/>
      <c r="AI52" s="10">
        <v>14650</v>
      </c>
      <c r="AJ52" s="10"/>
      <c r="AK52" s="10">
        <v>2656</v>
      </c>
      <c r="AL52" s="10"/>
      <c r="AM52" s="10"/>
      <c r="AN52" s="10"/>
      <c r="AO52" s="10"/>
      <c r="AP52" s="10">
        <v>0</v>
      </c>
      <c r="AQ52" s="10">
        <v>0</v>
      </c>
      <c r="AR52" s="10">
        <v>59731</v>
      </c>
      <c r="AS52" s="10">
        <v>92582</v>
      </c>
      <c r="AT52" s="10">
        <v>7</v>
      </c>
      <c r="AU52" s="10">
        <v>2063</v>
      </c>
      <c r="AV52" s="10"/>
      <c r="AW52" s="10"/>
      <c r="AX52" s="10"/>
      <c r="AY52" s="10"/>
      <c r="AZ52" s="10"/>
      <c r="BA52" s="10"/>
      <c r="BB52" s="10"/>
      <c r="BC52" s="10">
        <v>20</v>
      </c>
      <c r="BD52" s="10">
        <v>412</v>
      </c>
      <c r="BE52" s="10">
        <v>21984</v>
      </c>
      <c r="BF52" s="10"/>
      <c r="BG52" s="10"/>
      <c r="BH52" s="10"/>
      <c r="BI52" s="10"/>
      <c r="BJ52" s="10"/>
      <c r="BK52" s="10"/>
      <c r="BL52" s="10">
        <v>31237</v>
      </c>
      <c r="BM52" s="10">
        <v>34985</v>
      </c>
      <c r="BN52" s="10">
        <v>-1</v>
      </c>
      <c r="BO52" s="10">
        <v>-2</v>
      </c>
      <c r="BP52" s="10"/>
      <c r="BQ52" s="10"/>
      <c r="BR52" s="85">
        <f t="shared" ref="BR52:BR55" si="10">SUM(B52+D52+F52+H52+J52+L52+N52+P52+R52+T52+V52+X52+Z52+AB52+AD52+AF52+AH52+AJ52+AL52+AN52+AP52+AR52+AT52+AV52+AX52+AZ52+BB52+BD52+BF52+BH52+BJ52+BL52+BN52+BP52)</f>
        <v>99603</v>
      </c>
      <c r="BS52" s="85">
        <f t="shared" ref="BS52:BS55" si="11">SUM(C52+E52+G52+I52+K52+M52+O52+Q52+S52+U52+W52+Y52+AA52+AC52+AE52+AG52+AI52+AK52+AM52+AO52+AQ52+AS52+AU52+AW52+AY52+BA52+BC52+BE52+BG52+BI52+BK52+BM52+BO52+BQ52)</f>
        <v>214305</v>
      </c>
    </row>
    <row r="53" spans="1:71" x14ac:dyDescent="0.25">
      <c r="A53" s="10" t="s">
        <v>288</v>
      </c>
      <c r="B53" s="10">
        <v>86</v>
      </c>
      <c r="C53" s="10">
        <v>287</v>
      </c>
      <c r="D53" s="10">
        <v>26699</v>
      </c>
      <c r="E53" s="10">
        <v>62388</v>
      </c>
      <c r="F53" s="10"/>
      <c r="G53" s="10"/>
      <c r="H53" s="10">
        <v>71577</v>
      </c>
      <c r="I53" s="10">
        <v>198377</v>
      </c>
      <c r="J53" s="10">
        <v>42318</v>
      </c>
      <c r="K53" s="10">
        <v>125768</v>
      </c>
      <c r="L53" s="10">
        <v>7801</v>
      </c>
      <c r="M53" s="10">
        <v>18351</v>
      </c>
      <c r="N53" s="10">
        <v>198455</v>
      </c>
      <c r="O53" s="10">
        <v>479218</v>
      </c>
      <c r="P53" s="10">
        <v>-9015</v>
      </c>
      <c r="Q53" s="10">
        <v>-22668</v>
      </c>
      <c r="R53" s="10">
        <v>-28</v>
      </c>
      <c r="S53" s="10">
        <v>2190</v>
      </c>
      <c r="T53" s="10"/>
      <c r="U53" s="10"/>
      <c r="V53" s="10">
        <v>31932</v>
      </c>
      <c r="W53" s="10">
        <v>74188</v>
      </c>
      <c r="X53" s="10">
        <v>1872</v>
      </c>
      <c r="Y53" s="10">
        <v>4194</v>
      </c>
      <c r="Z53" s="10">
        <v>-578041</v>
      </c>
      <c r="AA53" s="10">
        <v>-1687982</v>
      </c>
      <c r="AB53" s="10">
        <v>301577</v>
      </c>
      <c r="AC53" s="10">
        <v>688156</v>
      </c>
      <c r="AD53" s="10">
        <v>21349</v>
      </c>
      <c r="AE53" s="10">
        <v>79857</v>
      </c>
      <c r="AF53" s="10">
        <v>39140</v>
      </c>
      <c r="AG53" s="10">
        <v>117238</v>
      </c>
      <c r="AH53" s="10">
        <v>2188</v>
      </c>
      <c r="AI53" s="10">
        <v>14585</v>
      </c>
      <c r="AJ53" s="10">
        <v>-1379</v>
      </c>
      <c r="AK53" s="10">
        <v>-3519</v>
      </c>
      <c r="AL53" s="10">
        <v>898</v>
      </c>
      <c r="AM53" s="10">
        <v>3154</v>
      </c>
      <c r="AN53" s="10">
        <v>28707</v>
      </c>
      <c r="AO53" s="10">
        <v>69001</v>
      </c>
      <c r="AP53" s="10">
        <v>14488.055</v>
      </c>
      <c r="AQ53" s="10">
        <v>75241.305999999997</v>
      </c>
      <c r="AR53" s="10">
        <v>30428</v>
      </c>
      <c r="AS53" s="10">
        <v>142469</v>
      </c>
      <c r="AT53" s="10">
        <v>44124</v>
      </c>
      <c r="AU53" s="10">
        <v>26709</v>
      </c>
      <c r="AV53" s="10">
        <v>1606</v>
      </c>
      <c r="AW53" s="10">
        <v>2044</v>
      </c>
      <c r="AX53" s="10">
        <v>30255</v>
      </c>
      <c r="AY53" s="10">
        <v>130284</v>
      </c>
      <c r="AZ53" s="10"/>
      <c r="BA53" s="10"/>
      <c r="BB53" s="10">
        <v>19081</v>
      </c>
      <c r="BC53" s="10">
        <v>71527</v>
      </c>
      <c r="BD53" s="10">
        <v>-10785</v>
      </c>
      <c r="BE53" s="10">
        <v>-67304</v>
      </c>
      <c r="BF53" s="10">
        <v>112316</v>
      </c>
      <c r="BG53" s="10">
        <v>299827</v>
      </c>
      <c r="BH53" s="10">
        <v>43235</v>
      </c>
      <c r="BI53" s="10">
        <v>80553</v>
      </c>
      <c r="BJ53" s="10"/>
      <c r="BK53" s="10"/>
      <c r="BL53" s="10">
        <v>18151</v>
      </c>
      <c r="BM53" s="10">
        <v>58918</v>
      </c>
      <c r="BN53" s="10">
        <v>677337</v>
      </c>
      <c r="BO53" s="10">
        <v>1527759</v>
      </c>
      <c r="BP53" s="10">
        <v>80915</v>
      </c>
      <c r="BQ53" s="10">
        <v>171101</v>
      </c>
      <c r="BR53" s="85">
        <f t="shared" si="10"/>
        <v>1247287.0549999999</v>
      </c>
      <c r="BS53" s="85">
        <f t="shared" si="11"/>
        <v>2741911.3059999999</v>
      </c>
    </row>
    <row r="54" spans="1:71" x14ac:dyDescent="0.25">
      <c r="A54" s="10" t="s">
        <v>242</v>
      </c>
      <c r="B54" s="10">
        <v>1615</v>
      </c>
      <c r="C54" s="10">
        <v>5448</v>
      </c>
      <c r="D54" s="10">
        <v>281733</v>
      </c>
      <c r="E54" s="10">
        <v>727489</v>
      </c>
      <c r="F54" s="10"/>
      <c r="G54" s="10"/>
      <c r="H54" s="10">
        <v>155997</v>
      </c>
      <c r="I54" s="10">
        <v>919721</v>
      </c>
      <c r="J54" s="10">
        <v>684576</v>
      </c>
      <c r="K54" s="10">
        <v>2000976</v>
      </c>
      <c r="L54" s="10">
        <v>125994</v>
      </c>
      <c r="M54" s="10">
        <v>296343</v>
      </c>
      <c r="N54" s="10">
        <v>624656</v>
      </c>
      <c r="O54" s="10">
        <v>1860942</v>
      </c>
      <c r="P54" s="10">
        <v>6019</v>
      </c>
      <c r="Q54" s="10">
        <v>14844</v>
      </c>
      <c r="R54" s="10">
        <v>326</v>
      </c>
      <c r="S54" s="10">
        <v>20875</v>
      </c>
      <c r="T54" s="10"/>
      <c r="U54" s="10"/>
      <c r="V54" s="10">
        <v>181826</v>
      </c>
      <c r="W54" s="10">
        <v>481555</v>
      </c>
      <c r="X54" s="10">
        <v>35576</v>
      </c>
      <c r="Y54" s="10">
        <v>79688</v>
      </c>
      <c r="Z54" s="10">
        <v>1238783</v>
      </c>
      <c r="AA54" s="10">
        <v>3420297</v>
      </c>
      <c r="AB54" s="10">
        <v>1045699</v>
      </c>
      <c r="AC54" s="10">
        <v>3245645</v>
      </c>
      <c r="AD54" s="10">
        <v>183952</v>
      </c>
      <c r="AE54" s="10">
        <v>628403</v>
      </c>
      <c r="AF54" s="10">
        <v>27657</v>
      </c>
      <c r="AG54" s="10">
        <v>73813</v>
      </c>
      <c r="AH54" s="10">
        <v>41399</v>
      </c>
      <c r="AI54" s="10">
        <v>151440</v>
      </c>
      <c r="AJ54" s="10">
        <v>13191</v>
      </c>
      <c r="AK54" s="10">
        <v>34687</v>
      </c>
      <c r="AL54" s="10">
        <v>15942</v>
      </c>
      <c r="AM54" s="10">
        <v>51995</v>
      </c>
      <c r="AN54" s="10">
        <v>144533</v>
      </c>
      <c r="AO54" s="10">
        <v>365476</v>
      </c>
      <c r="AP54" s="10">
        <v>275273.03900000005</v>
      </c>
      <c r="AQ54" s="10">
        <v>1429585.4409999999</v>
      </c>
      <c r="AR54" s="10">
        <v>609729</v>
      </c>
      <c r="AS54" s="10">
        <v>2735789</v>
      </c>
      <c r="AT54" s="10">
        <v>497052</v>
      </c>
      <c r="AU54" s="10">
        <v>1802801</v>
      </c>
      <c r="AV54" s="10">
        <v>333</v>
      </c>
      <c r="AW54" s="10">
        <v>421</v>
      </c>
      <c r="AX54" s="10">
        <v>85689</v>
      </c>
      <c r="AY54" s="10">
        <v>324544</v>
      </c>
      <c r="AZ54" s="10"/>
      <c r="BA54" s="10"/>
      <c r="BB54" s="10">
        <v>348070</v>
      </c>
      <c r="BC54" s="10">
        <v>1014513</v>
      </c>
      <c r="BD54" s="10">
        <v>116870</v>
      </c>
      <c r="BE54" s="10">
        <v>389789</v>
      </c>
      <c r="BF54" s="10">
        <v>1952573</v>
      </c>
      <c r="BG54" s="10">
        <v>5202850</v>
      </c>
      <c r="BH54" s="10">
        <v>20712</v>
      </c>
      <c r="BI54" s="10">
        <v>41334</v>
      </c>
      <c r="BJ54" s="10"/>
      <c r="BK54" s="10"/>
      <c r="BL54" s="10">
        <v>279202</v>
      </c>
      <c r="BM54" s="10">
        <v>965758</v>
      </c>
      <c r="BN54" s="10">
        <v>501446</v>
      </c>
      <c r="BO54" s="10">
        <v>2164970</v>
      </c>
      <c r="BP54" s="10">
        <v>1063700</v>
      </c>
      <c r="BQ54" s="10">
        <v>1274038</v>
      </c>
      <c r="BR54" s="85">
        <f t="shared" si="10"/>
        <v>10560123.039000001</v>
      </c>
      <c r="BS54" s="85">
        <f t="shared" si="11"/>
        <v>31726029.441</v>
      </c>
    </row>
    <row r="55" spans="1:71" x14ac:dyDescent="0.25">
      <c r="A55" s="10" t="s">
        <v>243</v>
      </c>
      <c r="B55" s="10">
        <v>1902</v>
      </c>
      <c r="C55" s="10">
        <v>5394</v>
      </c>
      <c r="D55" s="10">
        <v>241970</v>
      </c>
      <c r="E55" s="10">
        <v>599805</v>
      </c>
      <c r="F55" s="10"/>
      <c r="G55" s="10"/>
      <c r="H55" s="10">
        <v>162739</v>
      </c>
      <c r="I55" s="10">
        <v>931790</v>
      </c>
      <c r="J55" s="10">
        <v>618099</v>
      </c>
      <c r="K55" s="10">
        <v>1845287</v>
      </c>
      <c r="L55" s="10">
        <v>69410</v>
      </c>
      <c r="M55" s="10">
        <v>181642</v>
      </c>
      <c r="N55" s="10">
        <v>555139</v>
      </c>
      <c r="O55" s="10">
        <v>1532609</v>
      </c>
      <c r="P55" s="10">
        <v>3085</v>
      </c>
      <c r="Q55" s="10">
        <v>53268</v>
      </c>
      <c r="R55" s="10">
        <v>5329</v>
      </c>
      <c r="S55" s="10">
        <v>16251</v>
      </c>
      <c r="T55" s="10"/>
      <c r="U55" s="10"/>
      <c r="V55" s="10">
        <v>152468</v>
      </c>
      <c r="W55" s="10">
        <v>437548</v>
      </c>
      <c r="X55" s="10">
        <v>16782</v>
      </c>
      <c r="Y55" s="10">
        <v>28270</v>
      </c>
      <c r="Z55" s="10">
        <v>1062725</v>
      </c>
      <c r="AA55" s="10">
        <v>3179454</v>
      </c>
      <c r="AB55" s="10">
        <v>1125013</v>
      </c>
      <c r="AC55" s="10">
        <v>3157315</v>
      </c>
      <c r="AD55" s="10">
        <v>183072</v>
      </c>
      <c r="AE55" s="10">
        <v>520815</v>
      </c>
      <c r="AF55" s="10">
        <v>22593</v>
      </c>
      <c r="AG55" s="10">
        <v>57737</v>
      </c>
      <c r="AH55" s="10">
        <v>51597</v>
      </c>
      <c r="AI55" s="10">
        <v>146715</v>
      </c>
      <c r="AJ55" s="10">
        <v>9616</v>
      </c>
      <c r="AK55" s="10">
        <v>32419</v>
      </c>
      <c r="AL55" s="10">
        <v>16975</v>
      </c>
      <c r="AM55" s="10">
        <v>81908</v>
      </c>
      <c r="AN55" s="10">
        <v>111085</v>
      </c>
      <c r="AO55" s="10">
        <v>271470</v>
      </c>
      <c r="AP55" s="10">
        <v>395324.23400000005</v>
      </c>
      <c r="AQ55" s="10">
        <v>1311466.9659999998</v>
      </c>
      <c r="AR55" s="10">
        <v>872865</v>
      </c>
      <c r="AS55" s="10">
        <v>3427545</v>
      </c>
      <c r="AT55" s="10">
        <v>657626</v>
      </c>
      <c r="AU55" s="10">
        <v>2606270</v>
      </c>
      <c r="AV55" s="10">
        <v>114</v>
      </c>
      <c r="AW55" s="10">
        <v>384</v>
      </c>
      <c r="AX55" s="10">
        <v>85576</v>
      </c>
      <c r="AY55" s="10">
        <v>246041</v>
      </c>
      <c r="AZ55" s="10"/>
      <c r="BA55" s="10"/>
      <c r="BB55" s="10">
        <v>327905</v>
      </c>
      <c r="BC55" s="10">
        <v>920671</v>
      </c>
      <c r="BD55" s="10">
        <v>123635</v>
      </c>
      <c r="BE55" s="10">
        <v>368653</v>
      </c>
      <c r="BF55" s="10">
        <v>1765829</v>
      </c>
      <c r="BG55" s="10">
        <v>4850984</v>
      </c>
      <c r="BH55" s="10">
        <v>14722</v>
      </c>
      <c r="BI55" s="10">
        <v>38346</v>
      </c>
      <c r="BJ55" s="10"/>
      <c r="BK55" s="10"/>
      <c r="BL55" s="10">
        <v>342062</v>
      </c>
      <c r="BM55" s="10">
        <v>1024190</v>
      </c>
      <c r="BN55" s="10">
        <v>608991</v>
      </c>
      <c r="BO55" s="10">
        <v>2193403</v>
      </c>
      <c r="BP55" s="10">
        <v>155853</v>
      </c>
      <c r="BQ55" s="10">
        <v>278694</v>
      </c>
      <c r="BR55" s="85">
        <f t="shared" si="10"/>
        <v>9760101.2340000011</v>
      </c>
      <c r="BS55" s="85">
        <f t="shared" si="11"/>
        <v>30346344.965999998</v>
      </c>
    </row>
    <row r="57" spans="1:71" x14ac:dyDescent="0.25">
      <c r="A57" s="29" t="s">
        <v>235</v>
      </c>
    </row>
    <row r="58" spans="1:71" x14ac:dyDescent="0.25">
      <c r="A58" s="1" t="s">
        <v>0</v>
      </c>
      <c r="B58" s="107" t="s">
        <v>1</v>
      </c>
      <c r="C58" s="108"/>
      <c r="D58" s="107" t="s">
        <v>2</v>
      </c>
      <c r="E58" s="108"/>
      <c r="F58" s="107" t="s">
        <v>3</v>
      </c>
      <c r="G58" s="108"/>
      <c r="H58" s="107" t="s">
        <v>307</v>
      </c>
      <c r="I58" s="108"/>
      <c r="J58" s="107" t="s">
        <v>5</v>
      </c>
      <c r="K58" s="108"/>
      <c r="L58" s="107" t="s">
        <v>6</v>
      </c>
      <c r="M58" s="108"/>
      <c r="N58" s="107" t="s">
        <v>7</v>
      </c>
      <c r="O58" s="108"/>
      <c r="P58" s="107" t="s">
        <v>8</v>
      </c>
      <c r="Q58" s="108"/>
      <c r="R58" s="107" t="s">
        <v>9</v>
      </c>
      <c r="S58" s="108"/>
      <c r="T58" s="107" t="s">
        <v>10</v>
      </c>
      <c r="U58" s="108"/>
      <c r="V58" s="107" t="s">
        <v>11</v>
      </c>
      <c r="W58" s="108"/>
      <c r="X58" s="107" t="s">
        <v>12</v>
      </c>
      <c r="Y58" s="108"/>
      <c r="Z58" s="107" t="s">
        <v>13</v>
      </c>
      <c r="AA58" s="108"/>
      <c r="AB58" s="107" t="s">
        <v>14</v>
      </c>
      <c r="AC58" s="108"/>
      <c r="AD58" s="107" t="s">
        <v>15</v>
      </c>
      <c r="AE58" s="108"/>
      <c r="AF58" s="107" t="s">
        <v>16</v>
      </c>
      <c r="AG58" s="108"/>
      <c r="AH58" s="107" t="s">
        <v>17</v>
      </c>
      <c r="AI58" s="108"/>
      <c r="AJ58" s="107" t="s">
        <v>18</v>
      </c>
      <c r="AK58" s="108"/>
      <c r="AL58" s="107" t="s">
        <v>296</v>
      </c>
      <c r="AM58" s="108"/>
      <c r="AN58" s="107" t="s">
        <v>19</v>
      </c>
      <c r="AO58" s="108"/>
      <c r="AP58" s="107" t="s">
        <v>20</v>
      </c>
      <c r="AQ58" s="108"/>
      <c r="AR58" s="107" t="s">
        <v>21</v>
      </c>
      <c r="AS58" s="108"/>
      <c r="AT58" s="107" t="s">
        <v>22</v>
      </c>
      <c r="AU58" s="108"/>
      <c r="AV58" s="107" t="s">
        <v>23</v>
      </c>
      <c r="AW58" s="108"/>
      <c r="AX58" s="107" t="s">
        <v>24</v>
      </c>
      <c r="AY58" s="108"/>
      <c r="AZ58" s="107" t="s">
        <v>25</v>
      </c>
      <c r="BA58" s="108"/>
      <c r="BB58" s="107" t="s">
        <v>26</v>
      </c>
      <c r="BC58" s="108"/>
      <c r="BD58" s="107" t="s">
        <v>27</v>
      </c>
      <c r="BE58" s="108"/>
      <c r="BF58" s="107" t="s">
        <v>28</v>
      </c>
      <c r="BG58" s="108"/>
      <c r="BH58" s="107" t="s">
        <v>29</v>
      </c>
      <c r="BI58" s="108"/>
      <c r="BJ58" s="107" t="s">
        <v>30</v>
      </c>
      <c r="BK58" s="108"/>
      <c r="BL58" s="107" t="s">
        <v>31</v>
      </c>
      <c r="BM58" s="108"/>
      <c r="BN58" s="111" t="s">
        <v>32</v>
      </c>
      <c r="BO58" s="112"/>
      <c r="BP58" s="107" t="s">
        <v>33</v>
      </c>
      <c r="BQ58" s="108"/>
      <c r="BR58" s="109" t="s">
        <v>34</v>
      </c>
      <c r="BS58" s="110"/>
    </row>
    <row r="59" spans="1:71" ht="30" x14ac:dyDescent="0.25">
      <c r="A59" s="1"/>
      <c r="B59" s="66" t="s">
        <v>294</v>
      </c>
      <c r="C59" s="67" t="s">
        <v>295</v>
      </c>
      <c r="D59" s="66" t="s">
        <v>294</v>
      </c>
      <c r="E59" s="67" t="s">
        <v>295</v>
      </c>
      <c r="F59" s="66" t="s">
        <v>294</v>
      </c>
      <c r="G59" s="67" t="s">
        <v>295</v>
      </c>
      <c r="H59" s="66" t="s">
        <v>294</v>
      </c>
      <c r="I59" s="67" t="s">
        <v>295</v>
      </c>
      <c r="J59" s="66" t="s">
        <v>294</v>
      </c>
      <c r="K59" s="67" t="s">
        <v>295</v>
      </c>
      <c r="L59" s="66" t="s">
        <v>294</v>
      </c>
      <c r="M59" s="67" t="s">
        <v>295</v>
      </c>
      <c r="N59" s="66" t="s">
        <v>294</v>
      </c>
      <c r="O59" s="67" t="s">
        <v>295</v>
      </c>
      <c r="P59" s="66" t="s">
        <v>294</v>
      </c>
      <c r="Q59" s="67" t="s">
        <v>295</v>
      </c>
      <c r="R59" s="66" t="s">
        <v>294</v>
      </c>
      <c r="S59" s="67" t="s">
        <v>295</v>
      </c>
      <c r="T59" s="66" t="s">
        <v>294</v>
      </c>
      <c r="U59" s="67" t="s">
        <v>295</v>
      </c>
      <c r="V59" s="66" t="s">
        <v>294</v>
      </c>
      <c r="W59" s="67" t="s">
        <v>295</v>
      </c>
      <c r="X59" s="66" t="s">
        <v>294</v>
      </c>
      <c r="Y59" s="67" t="s">
        <v>295</v>
      </c>
      <c r="Z59" s="66" t="s">
        <v>294</v>
      </c>
      <c r="AA59" s="67" t="s">
        <v>295</v>
      </c>
      <c r="AB59" s="66" t="s">
        <v>294</v>
      </c>
      <c r="AC59" s="67" t="s">
        <v>295</v>
      </c>
      <c r="AD59" s="66" t="s">
        <v>294</v>
      </c>
      <c r="AE59" s="67" t="s">
        <v>295</v>
      </c>
      <c r="AF59" s="66" t="s">
        <v>294</v>
      </c>
      <c r="AG59" s="67" t="s">
        <v>295</v>
      </c>
      <c r="AH59" s="66" t="s">
        <v>294</v>
      </c>
      <c r="AI59" s="67" t="s">
        <v>295</v>
      </c>
      <c r="AJ59" s="66" t="s">
        <v>294</v>
      </c>
      <c r="AK59" s="67" t="s">
        <v>295</v>
      </c>
      <c r="AL59" s="66" t="s">
        <v>294</v>
      </c>
      <c r="AM59" s="67" t="s">
        <v>295</v>
      </c>
      <c r="AN59" s="66" t="s">
        <v>294</v>
      </c>
      <c r="AO59" s="67" t="s">
        <v>295</v>
      </c>
      <c r="AP59" s="66" t="s">
        <v>294</v>
      </c>
      <c r="AQ59" s="67" t="s">
        <v>295</v>
      </c>
      <c r="AR59" s="66" t="s">
        <v>294</v>
      </c>
      <c r="AS59" s="67" t="s">
        <v>295</v>
      </c>
      <c r="AT59" s="66" t="s">
        <v>294</v>
      </c>
      <c r="AU59" s="67" t="s">
        <v>295</v>
      </c>
      <c r="AV59" s="66" t="s">
        <v>294</v>
      </c>
      <c r="AW59" s="67" t="s">
        <v>295</v>
      </c>
      <c r="AX59" s="66" t="s">
        <v>294</v>
      </c>
      <c r="AY59" s="67" t="s">
        <v>295</v>
      </c>
      <c r="AZ59" s="66" t="s">
        <v>294</v>
      </c>
      <c r="BA59" s="67" t="s">
        <v>295</v>
      </c>
      <c r="BB59" s="66" t="s">
        <v>294</v>
      </c>
      <c r="BC59" s="67" t="s">
        <v>295</v>
      </c>
      <c r="BD59" s="66" t="s">
        <v>294</v>
      </c>
      <c r="BE59" s="67" t="s">
        <v>295</v>
      </c>
      <c r="BF59" s="66" t="s">
        <v>294</v>
      </c>
      <c r="BG59" s="67" t="s">
        <v>295</v>
      </c>
      <c r="BH59" s="66" t="s">
        <v>294</v>
      </c>
      <c r="BI59" s="67" t="s">
        <v>295</v>
      </c>
      <c r="BJ59" s="66" t="s">
        <v>294</v>
      </c>
      <c r="BK59" s="67" t="s">
        <v>295</v>
      </c>
      <c r="BL59" s="66" t="s">
        <v>294</v>
      </c>
      <c r="BM59" s="67" t="s">
        <v>295</v>
      </c>
      <c r="BN59" s="66" t="s">
        <v>294</v>
      </c>
      <c r="BO59" s="67" t="s">
        <v>295</v>
      </c>
      <c r="BP59" s="66" t="s">
        <v>294</v>
      </c>
      <c r="BQ59" s="67" t="s">
        <v>295</v>
      </c>
      <c r="BR59" s="66" t="s">
        <v>294</v>
      </c>
      <c r="BS59" s="67" t="s">
        <v>295</v>
      </c>
    </row>
    <row r="60" spans="1:71" x14ac:dyDescent="0.25">
      <c r="A60" s="10" t="s">
        <v>284</v>
      </c>
      <c r="B60" s="10">
        <v>266855</v>
      </c>
      <c r="C60" s="10">
        <v>508023</v>
      </c>
      <c r="D60" s="10"/>
      <c r="E60" s="10"/>
      <c r="F60" s="10"/>
      <c r="G60" s="10"/>
      <c r="H60" s="10"/>
      <c r="I60" s="10"/>
      <c r="J60" s="10">
        <v>83358</v>
      </c>
      <c r="K60" s="10">
        <v>350228</v>
      </c>
      <c r="L60" s="10">
        <v>67728</v>
      </c>
      <c r="M60" s="10">
        <v>257828</v>
      </c>
      <c r="N60" s="10">
        <v>26782</v>
      </c>
      <c r="O60" s="10">
        <v>70164</v>
      </c>
      <c r="P60" s="10"/>
      <c r="Q60" s="10"/>
      <c r="R60" s="10"/>
      <c r="S60" s="10"/>
      <c r="T60" s="10"/>
      <c r="U60" s="10"/>
      <c r="V60" s="10">
        <v>45902</v>
      </c>
      <c r="W60" s="10">
        <v>142517</v>
      </c>
      <c r="X60" s="10"/>
      <c r="Y60" s="10"/>
      <c r="Z60" s="10">
        <v>6161</v>
      </c>
      <c r="AA60" s="10">
        <v>18846</v>
      </c>
      <c r="AB60" s="10">
        <v>87756</v>
      </c>
      <c r="AC60" s="10">
        <v>459139</v>
      </c>
      <c r="AD60" s="10">
        <v>86521</v>
      </c>
      <c r="AE60" s="10">
        <v>287442</v>
      </c>
      <c r="AF60" s="10"/>
      <c r="AG60" s="10"/>
      <c r="AH60" s="10">
        <v>32111</v>
      </c>
      <c r="AI60" s="10">
        <v>80109</v>
      </c>
      <c r="AJ60" s="10">
        <v>92</v>
      </c>
      <c r="AK60" s="10">
        <v>357</v>
      </c>
      <c r="AL60" s="10"/>
      <c r="AM60" s="10"/>
      <c r="AN60" s="10"/>
      <c r="AO60" s="10"/>
      <c r="AP60" s="10">
        <v>111991.30716249993</v>
      </c>
      <c r="AQ60" s="10">
        <v>505633.46369999996</v>
      </c>
      <c r="AR60" s="10">
        <v>1189976</v>
      </c>
      <c r="AS60" s="10">
        <v>4524238</v>
      </c>
      <c r="AT60" s="10">
        <v>235006</v>
      </c>
      <c r="AU60" s="10">
        <v>587474</v>
      </c>
      <c r="AV60" s="10">
        <v>12695</v>
      </c>
      <c r="AW60" s="10">
        <v>44891</v>
      </c>
      <c r="AX60" s="10">
        <v>39893</v>
      </c>
      <c r="AY60" s="10">
        <v>238478</v>
      </c>
      <c r="AZ60" s="10"/>
      <c r="BA60" s="10"/>
      <c r="BB60" s="10"/>
      <c r="BC60" s="10"/>
      <c r="BD60" s="10">
        <v>12557</v>
      </c>
      <c r="BE60" s="10">
        <v>47544</v>
      </c>
      <c r="BF60" s="10">
        <v>30187</v>
      </c>
      <c r="BG60" s="10">
        <v>120069</v>
      </c>
      <c r="BH60" s="10">
        <v>636</v>
      </c>
      <c r="BI60" s="10">
        <v>4140</v>
      </c>
      <c r="BJ60" s="10"/>
      <c r="BK60" s="10"/>
      <c r="BL60" s="10">
        <v>843373</v>
      </c>
      <c r="BM60" s="10">
        <v>2566576</v>
      </c>
      <c r="BN60" s="10">
        <v>179000</v>
      </c>
      <c r="BO60" s="10">
        <v>885478</v>
      </c>
      <c r="BP60" s="10">
        <v>8346</v>
      </c>
      <c r="BQ60" s="10">
        <v>23291</v>
      </c>
      <c r="BR60" s="85">
        <f t="shared" ref="BR60:BR64" si="12">SUM(B60+D60+F60+H60+J60+L60+N60+P60+R60+T60+V60+X60+Z60+AB60+AD60+AF60+AH60+AJ60+AL60+AN60+AP60+AR60+AT60+AV60+AX60+AZ60+BB60+BD60+BF60+BH60+BJ60+BL60+BN60+BP60)</f>
        <v>3366926.3071625</v>
      </c>
      <c r="BS60" s="85">
        <f t="shared" ref="BS60:BS64" si="13">SUM(C60+E60+G60+I60+K60+M60+O60+Q60+S60+U60+W60+Y60+AA60+AC60+AE60+AG60+AI60+AK60+AM60+AO60+AQ60+AS60+AU60+AW60+AY60+BA60+BC60+BE60+BG60+BI60+BK60+BM60+BO60+BQ60)</f>
        <v>11722465.4637</v>
      </c>
    </row>
    <row r="61" spans="1:71" x14ac:dyDescent="0.25">
      <c r="A61" s="10" t="s">
        <v>287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>
        <v>850</v>
      </c>
      <c r="M61" s="10">
        <v>4145</v>
      </c>
      <c r="N61" s="10"/>
      <c r="O61" s="10">
        <v>10063</v>
      </c>
      <c r="P61" s="10"/>
      <c r="Q61" s="10"/>
      <c r="R61" s="10"/>
      <c r="S61" s="10"/>
      <c r="T61" s="10"/>
      <c r="U61" s="10"/>
      <c r="V61" s="10">
        <v>4979</v>
      </c>
      <c r="W61" s="10">
        <v>18551</v>
      </c>
      <c r="X61" s="10"/>
      <c r="Y61" s="10"/>
      <c r="Z61" s="10">
        <v>37</v>
      </c>
      <c r="AA61" s="10">
        <v>1556</v>
      </c>
      <c r="AB61" s="10"/>
      <c r="AC61" s="10"/>
      <c r="AD61" s="10">
        <v>2599</v>
      </c>
      <c r="AE61" s="10">
        <v>29478</v>
      </c>
      <c r="AF61" s="10"/>
      <c r="AG61" s="10"/>
      <c r="AH61" s="10">
        <v>2034</v>
      </c>
      <c r="AI61" s="10">
        <v>3829</v>
      </c>
      <c r="AJ61" s="10"/>
      <c r="AK61" s="10"/>
      <c r="AL61" s="10"/>
      <c r="AM61" s="10"/>
      <c r="AN61" s="10"/>
      <c r="AO61" s="10"/>
      <c r="AP61" s="10">
        <v>67762.895999999993</v>
      </c>
      <c r="AQ61" s="10">
        <v>67762.895999999993</v>
      </c>
      <c r="AR61" s="10">
        <v>1212</v>
      </c>
      <c r="AS61" s="10">
        <v>206455</v>
      </c>
      <c r="AT61" s="10">
        <v>60987</v>
      </c>
      <c r="AU61" s="10">
        <v>61180</v>
      </c>
      <c r="AV61" s="10">
        <v>20195</v>
      </c>
      <c r="AW61" s="10">
        <v>28451</v>
      </c>
      <c r="AX61" s="10"/>
      <c r="AY61" s="10">
        <v>13574</v>
      </c>
      <c r="AZ61" s="10"/>
      <c r="BA61" s="10"/>
      <c r="BB61" s="10"/>
      <c r="BC61" s="10"/>
      <c r="BD61" s="10"/>
      <c r="BE61" s="10"/>
      <c r="BF61" s="10">
        <v>19727</v>
      </c>
      <c r="BG61" s="10">
        <v>27972</v>
      </c>
      <c r="BH61" s="10"/>
      <c r="BI61" s="10"/>
      <c r="BJ61" s="10"/>
      <c r="BK61" s="10"/>
      <c r="BL61" s="10">
        <v>130623</v>
      </c>
      <c r="BM61" s="10">
        <v>287373</v>
      </c>
      <c r="BN61" s="10"/>
      <c r="BO61" s="10"/>
      <c r="BP61" s="10"/>
      <c r="BQ61" s="10"/>
      <c r="BR61" s="85">
        <f t="shared" si="12"/>
        <v>311005.89600000001</v>
      </c>
      <c r="BS61" s="85">
        <f t="shared" si="13"/>
        <v>760389.89599999995</v>
      </c>
    </row>
    <row r="62" spans="1:71" x14ac:dyDescent="0.25">
      <c r="A62" s="10" t="s">
        <v>288</v>
      </c>
      <c r="B62" s="10">
        <v>171827</v>
      </c>
      <c r="C62" s="10">
        <v>321581</v>
      </c>
      <c r="D62" s="10"/>
      <c r="E62" s="10"/>
      <c r="F62" s="10"/>
      <c r="G62" s="10"/>
      <c r="H62" s="10"/>
      <c r="I62" s="10"/>
      <c r="J62" s="10">
        <v>47079</v>
      </c>
      <c r="K62" s="10">
        <v>241549</v>
      </c>
      <c r="L62" s="10">
        <v>31176</v>
      </c>
      <c r="M62" s="10">
        <v>112789</v>
      </c>
      <c r="N62" s="10">
        <v>15653</v>
      </c>
      <c r="O62" s="10">
        <v>30382</v>
      </c>
      <c r="P62" s="10"/>
      <c r="Q62" s="10"/>
      <c r="R62" s="10"/>
      <c r="S62" s="10"/>
      <c r="T62" s="10"/>
      <c r="U62" s="10"/>
      <c r="V62" s="10">
        <v>30715</v>
      </c>
      <c r="W62" s="10">
        <v>102837</v>
      </c>
      <c r="X62" s="10"/>
      <c r="Y62" s="10"/>
      <c r="Z62" s="10">
        <v>-2711</v>
      </c>
      <c r="AA62" s="10">
        <v>-7526</v>
      </c>
      <c r="AB62" s="10">
        <v>21061</v>
      </c>
      <c r="AC62" s="10">
        <v>248653</v>
      </c>
      <c r="AD62" s="10">
        <v>31177</v>
      </c>
      <c r="AE62" s="10">
        <v>113272</v>
      </c>
      <c r="AF62" s="10"/>
      <c r="AG62" s="10"/>
      <c r="AH62" s="10">
        <v>1608</v>
      </c>
      <c r="AI62" s="10">
        <v>17838</v>
      </c>
      <c r="AJ62" s="10">
        <v>-74</v>
      </c>
      <c r="AK62" s="10">
        <v>-305</v>
      </c>
      <c r="AL62" s="10"/>
      <c r="AM62" s="10"/>
      <c r="AN62" s="10"/>
      <c r="AO62" s="10"/>
      <c r="AP62" s="10">
        <v>107258.50654</v>
      </c>
      <c r="AQ62" s="10">
        <v>126940.35254000001</v>
      </c>
      <c r="AR62" s="10">
        <v>294735</v>
      </c>
      <c r="AS62" s="10">
        <v>1386599</v>
      </c>
      <c r="AT62" s="10">
        <v>80496</v>
      </c>
      <c r="AU62" s="10">
        <v>231642</v>
      </c>
      <c r="AV62" s="10">
        <v>8050</v>
      </c>
      <c r="AW62" s="10">
        <v>19414</v>
      </c>
      <c r="AX62" s="10">
        <v>41506</v>
      </c>
      <c r="AY62" s="10">
        <v>116728</v>
      </c>
      <c r="AZ62" s="10"/>
      <c r="BA62" s="10"/>
      <c r="BB62" s="10"/>
      <c r="BC62" s="10"/>
      <c r="BD62" s="10">
        <v>-6772</v>
      </c>
      <c r="BE62" s="10">
        <v>-22039</v>
      </c>
      <c r="BF62" s="10">
        <v>28551</v>
      </c>
      <c r="BG62" s="10">
        <v>105178</v>
      </c>
      <c r="BH62" s="10">
        <v>193</v>
      </c>
      <c r="BI62" s="10">
        <v>1260</v>
      </c>
      <c r="BJ62" s="10"/>
      <c r="BK62" s="10"/>
      <c r="BL62" s="10">
        <v>783675</v>
      </c>
      <c r="BM62" s="10">
        <v>2176394</v>
      </c>
      <c r="BN62" s="10">
        <v>29712</v>
      </c>
      <c r="BO62" s="10">
        <v>383913</v>
      </c>
      <c r="BP62" s="10">
        <v>2713</v>
      </c>
      <c r="BQ62" s="10">
        <v>11218</v>
      </c>
      <c r="BR62" s="85">
        <f t="shared" si="12"/>
        <v>1717628.50654</v>
      </c>
      <c r="BS62" s="85">
        <f t="shared" si="13"/>
        <v>5718317.3525400003</v>
      </c>
    </row>
    <row r="63" spans="1:71" x14ac:dyDescent="0.25">
      <c r="A63" s="10" t="s">
        <v>242</v>
      </c>
      <c r="B63" s="10">
        <v>95028</v>
      </c>
      <c r="C63" s="10">
        <v>186442</v>
      </c>
      <c r="D63" s="10"/>
      <c r="E63" s="10"/>
      <c r="F63" s="10"/>
      <c r="G63" s="10"/>
      <c r="H63" s="10"/>
      <c r="I63" s="10"/>
      <c r="J63" s="10">
        <v>36279</v>
      </c>
      <c r="K63" s="10">
        <v>108679</v>
      </c>
      <c r="L63" s="10">
        <v>37402</v>
      </c>
      <c r="M63" s="10">
        <v>149184</v>
      </c>
      <c r="N63" s="10">
        <v>11129</v>
      </c>
      <c r="O63" s="10">
        <v>49845</v>
      </c>
      <c r="P63" s="10"/>
      <c r="Q63" s="10"/>
      <c r="R63" s="10"/>
      <c r="S63" s="10"/>
      <c r="T63" s="10"/>
      <c r="U63" s="10"/>
      <c r="V63" s="10">
        <v>20165</v>
      </c>
      <c r="W63" s="10">
        <v>58230</v>
      </c>
      <c r="X63" s="10"/>
      <c r="Y63" s="10"/>
      <c r="Z63" s="10">
        <v>3487</v>
      </c>
      <c r="AA63" s="10">
        <v>12876</v>
      </c>
      <c r="AB63" s="10">
        <v>66695</v>
      </c>
      <c r="AC63" s="10">
        <v>210486</v>
      </c>
      <c r="AD63" s="10">
        <v>57943</v>
      </c>
      <c r="AE63" s="10">
        <v>203648</v>
      </c>
      <c r="AF63" s="10"/>
      <c r="AG63" s="10"/>
      <c r="AH63" s="10">
        <v>32538</v>
      </c>
      <c r="AI63" s="10">
        <v>66100</v>
      </c>
      <c r="AJ63" s="10">
        <v>18</v>
      </c>
      <c r="AK63" s="10">
        <v>52</v>
      </c>
      <c r="AL63" s="10"/>
      <c r="AM63" s="10"/>
      <c r="AN63" s="10"/>
      <c r="AO63" s="10"/>
      <c r="AP63" s="10">
        <v>72495.696622499934</v>
      </c>
      <c r="AQ63" s="10">
        <v>446456.00715999992</v>
      </c>
      <c r="AR63" s="10">
        <v>896453</v>
      </c>
      <c r="AS63" s="10">
        <v>3344093</v>
      </c>
      <c r="AT63" s="10">
        <v>215497</v>
      </c>
      <c r="AU63" s="10">
        <v>417012</v>
      </c>
      <c r="AV63" s="10">
        <v>24840</v>
      </c>
      <c r="AW63" s="10">
        <v>53928</v>
      </c>
      <c r="AX63" s="10">
        <v>-1613</v>
      </c>
      <c r="AY63" s="10">
        <v>135324</v>
      </c>
      <c r="AZ63" s="10"/>
      <c r="BA63" s="10"/>
      <c r="BB63" s="10"/>
      <c r="BC63" s="10"/>
      <c r="BD63" s="10">
        <v>5785</v>
      </c>
      <c r="BE63" s="10">
        <v>25505</v>
      </c>
      <c r="BF63" s="10">
        <v>21363</v>
      </c>
      <c r="BG63" s="10">
        <v>42863</v>
      </c>
      <c r="BH63" s="10">
        <v>442</v>
      </c>
      <c r="BI63" s="10">
        <v>2881</v>
      </c>
      <c r="BJ63" s="10"/>
      <c r="BK63" s="10"/>
      <c r="BL63" s="10">
        <v>190321</v>
      </c>
      <c r="BM63" s="10">
        <v>677555</v>
      </c>
      <c r="BN63" s="10">
        <v>149288</v>
      </c>
      <c r="BO63" s="10">
        <v>639731</v>
      </c>
      <c r="BP63" s="10">
        <v>5633</v>
      </c>
      <c r="BQ63" s="10">
        <v>12073</v>
      </c>
      <c r="BR63" s="85">
        <f t="shared" si="12"/>
        <v>1941188.6966225</v>
      </c>
      <c r="BS63" s="85">
        <f t="shared" si="13"/>
        <v>6842963.0071600005</v>
      </c>
    </row>
    <row r="64" spans="1:71" x14ac:dyDescent="0.25">
      <c r="A64" s="10" t="s">
        <v>243</v>
      </c>
      <c r="B64" s="10">
        <v>38726</v>
      </c>
      <c r="C64" s="10">
        <v>108499</v>
      </c>
      <c r="D64" s="10"/>
      <c r="E64" s="10"/>
      <c r="F64" s="10"/>
      <c r="G64" s="10"/>
      <c r="H64" s="10"/>
      <c r="I64" s="10"/>
      <c r="J64" s="10">
        <v>32160</v>
      </c>
      <c r="K64" s="10">
        <v>100444</v>
      </c>
      <c r="L64" s="10">
        <v>42158</v>
      </c>
      <c r="M64" s="10">
        <v>131001</v>
      </c>
      <c r="N64" s="10">
        <v>18984</v>
      </c>
      <c r="O64" s="10">
        <v>53082</v>
      </c>
      <c r="P64" s="10"/>
      <c r="Q64" s="10"/>
      <c r="R64" s="10"/>
      <c r="S64" s="10"/>
      <c r="T64" s="10"/>
      <c r="U64" s="10"/>
      <c r="V64" s="10">
        <v>19576</v>
      </c>
      <c r="W64" s="10">
        <v>53914</v>
      </c>
      <c r="X64" s="10"/>
      <c r="Y64" s="10"/>
      <c r="Z64" s="10">
        <v>4295</v>
      </c>
      <c r="AA64" s="10">
        <v>13112</v>
      </c>
      <c r="AB64" s="10">
        <v>45568</v>
      </c>
      <c r="AC64" s="10">
        <v>162120</v>
      </c>
      <c r="AD64" s="10">
        <v>62246</v>
      </c>
      <c r="AE64" s="10">
        <v>175826</v>
      </c>
      <c r="AF64" s="10"/>
      <c r="AG64" s="10"/>
      <c r="AH64" s="10">
        <v>22371</v>
      </c>
      <c r="AI64" s="10">
        <v>53571</v>
      </c>
      <c r="AJ64" s="10">
        <v>33</v>
      </c>
      <c r="AK64" s="10">
        <v>64</v>
      </c>
      <c r="AL64" s="10"/>
      <c r="AM64" s="10"/>
      <c r="AN64" s="10"/>
      <c r="AO64" s="10"/>
      <c r="AP64" s="10">
        <v>132273.38762249993</v>
      </c>
      <c r="AQ64" s="10">
        <v>427494.96715999994</v>
      </c>
      <c r="AR64" s="10">
        <v>1057014</v>
      </c>
      <c r="AS64" s="10">
        <v>3204014</v>
      </c>
      <c r="AT64" s="10">
        <v>140486</v>
      </c>
      <c r="AU64" s="10">
        <v>387284</v>
      </c>
      <c r="AV64" s="10">
        <v>14425</v>
      </c>
      <c r="AW64" s="10">
        <v>37119</v>
      </c>
      <c r="AX64" s="10">
        <v>37550</v>
      </c>
      <c r="AY64" s="10">
        <v>98788</v>
      </c>
      <c r="AZ64" s="10"/>
      <c r="BA64" s="10"/>
      <c r="BB64" s="10"/>
      <c r="BC64" s="10"/>
      <c r="BD64" s="10">
        <v>8036</v>
      </c>
      <c r="BE64" s="10">
        <v>24389</v>
      </c>
      <c r="BF64" s="10">
        <v>14474</v>
      </c>
      <c r="BG64" s="10">
        <v>41070</v>
      </c>
      <c r="BH64" s="10">
        <v>879</v>
      </c>
      <c r="BI64" s="10">
        <v>2533</v>
      </c>
      <c r="BJ64" s="10"/>
      <c r="BK64" s="10"/>
      <c r="BL64" s="10">
        <v>294287</v>
      </c>
      <c r="BM64" s="10">
        <v>1029381</v>
      </c>
      <c r="BN64" s="10">
        <v>119864</v>
      </c>
      <c r="BO64" s="10">
        <v>642086</v>
      </c>
      <c r="BP64" s="10">
        <v>5032</v>
      </c>
      <c r="BQ64" s="10">
        <v>9658</v>
      </c>
      <c r="BR64" s="85">
        <f t="shared" si="12"/>
        <v>2110437.3876224998</v>
      </c>
      <c r="BS64" s="85">
        <f t="shared" si="13"/>
        <v>6755449.9671599995</v>
      </c>
    </row>
    <row r="66" spans="1:71" x14ac:dyDescent="0.25">
      <c r="A66" s="29" t="s">
        <v>236</v>
      </c>
    </row>
    <row r="67" spans="1:71" x14ac:dyDescent="0.25">
      <c r="A67" s="1" t="s">
        <v>0</v>
      </c>
      <c r="B67" s="107" t="s">
        <v>1</v>
      </c>
      <c r="C67" s="108"/>
      <c r="D67" s="107" t="s">
        <v>2</v>
      </c>
      <c r="E67" s="108"/>
      <c r="F67" s="107" t="s">
        <v>3</v>
      </c>
      <c r="G67" s="108"/>
      <c r="H67" s="107" t="s">
        <v>307</v>
      </c>
      <c r="I67" s="108"/>
      <c r="J67" s="107" t="s">
        <v>5</v>
      </c>
      <c r="K67" s="108"/>
      <c r="L67" s="107" t="s">
        <v>6</v>
      </c>
      <c r="M67" s="108"/>
      <c r="N67" s="107" t="s">
        <v>7</v>
      </c>
      <c r="O67" s="108"/>
      <c r="P67" s="107" t="s">
        <v>8</v>
      </c>
      <c r="Q67" s="108"/>
      <c r="R67" s="107" t="s">
        <v>9</v>
      </c>
      <c r="S67" s="108"/>
      <c r="T67" s="107" t="s">
        <v>10</v>
      </c>
      <c r="U67" s="108"/>
      <c r="V67" s="107" t="s">
        <v>11</v>
      </c>
      <c r="W67" s="108"/>
      <c r="X67" s="107" t="s">
        <v>12</v>
      </c>
      <c r="Y67" s="108"/>
      <c r="Z67" s="107" t="s">
        <v>13</v>
      </c>
      <c r="AA67" s="108"/>
      <c r="AB67" s="107" t="s">
        <v>14</v>
      </c>
      <c r="AC67" s="108"/>
      <c r="AD67" s="107" t="s">
        <v>15</v>
      </c>
      <c r="AE67" s="108"/>
      <c r="AF67" s="107" t="s">
        <v>16</v>
      </c>
      <c r="AG67" s="108"/>
      <c r="AH67" s="107" t="s">
        <v>17</v>
      </c>
      <c r="AI67" s="108"/>
      <c r="AJ67" s="107" t="s">
        <v>18</v>
      </c>
      <c r="AK67" s="108"/>
      <c r="AL67" s="107" t="s">
        <v>296</v>
      </c>
      <c r="AM67" s="108"/>
      <c r="AN67" s="107" t="s">
        <v>19</v>
      </c>
      <c r="AO67" s="108"/>
      <c r="AP67" s="107" t="s">
        <v>20</v>
      </c>
      <c r="AQ67" s="108"/>
      <c r="AR67" s="107" t="s">
        <v>21</v>
      </c>
      <c r="AS67" s="108"/>
      <c r="AT67" s="107" t="s">
        <v>22</v>
      </c>
      <c r="AU67" s="108"/>
      <c r="AV67" s="107" t="s">
        <v>23</v>
      </c>
      <c r="AW67" s="108"/>
      <c r="AX67" s="107" t="s">
        <v>24</v>
      </c>
      <c r="AY67" s="108"/>
      <c r="AZ67" s="107" t="s">
        <v>25</v>
      </c>
      <c r="BA67" s="108"/>
      <c r="BB67" s="107" t="s">
        <v>26</v>
      </c>
      <c r="BC67" s="108"/>
      <c r="BD67" s="107" t="s">
        <v>27</v>
      </c>
      <c r="BE67" s="108"/>
      <c r="BF67" s="107" t="s">
        <v>28</v>
      </c>
      <c r="BG67" s="108"/>
      <c r="BH67" s="107" t="s">
        <v>29</v>
      </c>
      <c r="BI67" s="108"/>
      <c r="BJ67" s="107" t="s">
        <v>30</v>
      </c>
      <c r="BK67" s="108"/>
      <c r="BL67" s="107" t="s">
        <v>31</v>
      </c>
      <c r="BM67" s="108"/>
      <c r="BN67" s="111" t="s">
        <v>32</v>
      </c>
      <c r="BO67" s="112"/>
      <c r="BP67" s="107" t="s">
        <v>33</v>
      </c>
      <c r="BQ67" s="108"/>
      <c r="BR67" s="109" t="s">
        <v>34</v>
      </c>
      <c r="BS67" s="110"/>
    </row>
    <row r="68" spans="1:71" ht="30" x14ac:dyDescent="0.25">
      <c r="A68" s="1"/>
      <c r="B68" s="66" t="s">
        <v>294</v>
      </c>
      <c r="C68" s="67" t="s">
        <v>295</v>
      </c>
      <c r="D68" s="66" t="s">
        <v>294</v>
      </c>
      <c r="E68" s="67" t="s">
        <v>295</v>
      </c>
      <c r="F68" s="66" t="s">
        <v>294</v>
      </c>
      <c r="G68" s="67" t="s">
        <v>295</v>
      </c>
      <c r="H68" s="66" t="s">
        <v>294</v>
      </c>
      <c r="I68" s="67" t="s">
        <v>295</v>
      </c>
      <c r="J68" s="66" t="s">
        <v>294</v>
      </c>
      <c r="K68" s="67" t="s">
        <v>295</v>
      </c>
      <c r="L68" s="66" t="s">
        <v>294</v>
      </c>
      <c r="M68" s="67" t="s">
        <v>295</v>
      </c>
      <c r="N68" s="66" t="s">
        <v>294</v>
      </c>
      <c r="O68" s="67" t="s">
        <v>295</v>
      </c>
      <c r="P68" s="66" t="s">
        <v>294</v>
      </c>
      <c r="Q68" s="67" t="s">
        <v>295</v>
      </c>
      <c r="R68" s="66" t="s">
        <v>294</v>
      </c>
      <c r="S68" s="67" t="s">
        <v>295</v>
      </c>
      <c r="T68" s="66" t="s">
        <v>294</v>
      </c>
      <c r="U68" s="67" t="s">
        <v>295</v>
      </c>
      <c r="V68" s="66" t="s">
        <v>294</v>
      </c>
      <c r="W68" s="67" t="s">
        <v>295</v>
      </c>
      <c r="X68" s="66" t="s">
        <v>294</v>
      </c>
      <c r="Y68" s="67" t="s">
        <v>295</v>
      </c>
      <c r="Z68" s="66" t="s">
        <v>294</v>
      </c>
      <c r="AA68" s="67" t="s">
        <v>295</v>
      </c>
      <c r="AB68" s="66" t="s">
        <v>294</v>
      </c>
      <c r="AC68" s="67" t="s">
        <v>295</v>
      </c>
      <c r="AD68" s="66" t="s">
        <v>294</v>
      </c>
      <c r="AE68" s="67" t="s">
        <v>295</v>
      </c>
      <c r="AF68" s="66" t="s">
        <v>294</v>
      </c>
      <c r="AG68" s="67" t="s">
        <v>295</v>
      </c>
      <c r="AH68" s="66" t="s">
        <v>294</v>
      </c>
      <c r="AI68" s="67" t="s">
        <v>295</v>
      </c>
      <c r="AJ68" s="66" t="s">
        <v>294</v>
      </c>
      <c r="AK68" s="67" t="s">
        <v>295</v>
      </c>
      <c r="AL68" s="66" t="s">
        <v>294</v>
      </c>
      <c r="AM68" s="67" t="s">
        <v>295</v>
      </c>
      <c r="AN68" s="66" t="s">
        <v>294</v>
      </c>
      <c r="AO68" s="67" t="s">
        <v>295</v>
      </c>
      <c r="AP68" s="66" t="s">
        <v>294</v>
      </c>
      <c r="AQ68" s="67" t="s">
        <v>295</v>
      </c>
      <c r="AR68" s="66" t="s">
        <v>294</v>
      </c>
      <c r="AS68" s="67" t="s">
        <v>295</v>
      </c>
      <c r="AT68" s="66" t="s">
        <v>294</v>
      </c>
      <c r="AU68" s="67" t="s">
        <v>295</v>
      </c>
      <c r="AV68" s="66" t="s">
        <v>294</v>
      </c>
      <c r="AW68" s="67" t="s">
        <v>295</v>
      </c>
      <c r="AX68" s="66" t="s">
        <v>294</v>
      </c>
      <c r="AY68" s="67" t="s">
        <v>295</v>
      </c>
      <c r="AZ68" s="66" t="s">
        <v>294</v>
      </c>
      <c r="BA68" s="67" t="s">
        <v>295</v>
      </c>
      <c r="BB68" s="66" t="s">
        <v>294</v>
      </c>
      <c r="BC68" s="67" t="s">
        <v>295</v>
      </c>
      <c r="BD68" s="66" t="s">
        <v>294</v>
      </c>
      <c r="BE68" s="67" t="s">
        <v>295</v>
      </c>
      <c r="BF68" s="66" t="s">
        <v>294</v>
      </c>
      <c r="BG68" s="67" t="s">
        <v>295</v>
      </c>
      <c r="BH68" s="66" t="s">
        <v>294</v>
      </c>
      <c r="BI68" s="67" t="s">
        <v>295</v>
      </c>
      <c r="BJ68" s="66" t="s">
        <v>294</v>
      </c>
      <c r="BK68" s="67" t="s">
        <v>295</v>
      </c>
      <c r="BL68" s="66" t="s">
        <v>294</v>
      </c>
      <c r="BM68" s="67" t="s">
        <v>295</v>
      </c>
      <c r="BN68" s="66" t="s">
        <v>294</v>
      </c>
      <c r="BO68" s="67" t="s">
        <v>295</v>
      </c>
      <c r="BP68" s="66" t="s">
        <v>294</v>
      </c>
      <c r="BQ68" s="67" t="s">
        <v>295</v>
      </c>
      <c r="BR68" s="66" t="s">
        <v>294</v>
      </c>
      <c r="BS68" s="67" t="s">
        <v>295</v>
      </c>
    </row>
    <row r="69" spans="1:71" x14ac:dyDescent="0.25">
      <c r="A69" s="10" t="s">
        <v>284</v>
      </c>
      <c r="B69" s="10"/>
      <c r="C69" s="10"/>
      <c r="D69" s="10"/>
      <c r="E69" s="10"/>
      <c r="F69" s="10"/>
      <c r="G69" s="10"/>
      <c r="H69" s="10"/>
      <c r="I69" s="10"/>
      <c r="J69" s="10">
        <v>54190</v>
      </c>
      <c r="K69" s="10">
        <v>88758</v>
      </c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>
        <v>37050</v>
      </c>
      <c r="AA69" s="10">
        <v>105786</v>
      </c>
      <c r="AB69" s="10">
        <v>192907</v>
      </c>
      <c r="AC69" s="10">
        <v>641286</v>
      </c>
      <c r="AD69" s="10">
        <v>770</v>
      </c>
      <c r="AE69" s="10">
        <v>2389</v>
      </c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>
        <v>224060.10941678402</v>
      </c>
      <c r="AQ69" s="10">
        <v>759204.41379984003</v>
      </c>
      <c r="AR69" s="10">
        <v>638239</v>
      </c>
      <c r="AS69" s="10">
        <v>1839601</v>
      </c>
      <c r="AT69" s="10">
        <v>328450</v>
      </c>
      <c r="AU69" s="10">
        <v>692317</v>
      </c>
      <c r="AV69" s="10"/>
      <c r="AW69" s="10"/>
      <c r="AX69" s="10">
        <v>50617</v>
      </c>
      <c r="AY69" s="10">
        <v>161669</v>
      </c>
      <c r="AZ69" s="10"/>
      <c r="BA69" s="10"/>
      <c r="BB69" s="10"/>
      <c r="BC69" s="10"/>
      <c r="BD69" s="10"/>
      <c r="BE69" s="10"/>
      <c r="BF69" s="10">
        <v>310</v>
      </c>
      <c r="BG69" s="10">
        <v>645</v>
      </c>
      <c r="BH69" s="10"/>
      <c r="BI69" s="10"/>
      <c r="BJ69" s="10"/>
      <c r="BK69" s="10"/>
      <c r="BL69" s="10"/>
      <c r="BM69" s="10"/>
      <c r="BN69" s="10">
        <v>206750</v>
      </c>
      <c r="BO69" s="10">
        <v>520705</v>
      </c>
      <c r="BP69" s="10"/>
      <c r="BQ69" s="10"/>
      <c r="BR69" s="85">
        <f t="shared" ref="BR69:BR73" si="14">SUM(B69+D69+F69+H69+J69+L69+N69+P69+R69+T69+V69+X69+Z69+AB69+AD69+AF69+AH69+AJ69+AL69+AN69+AP69+AR69+AT69+AV69+AX69+AZ69+BB69+BD69+BF69+BH69+BJ69+BL69+BN69+BP69)</f>
        <v>1733343.109416784</v>
      </c>
      <c r="BS69" s="85">
        <f t="shared" ref="BS69:BS73" si="15">SUM(C69+E69+G69+I69+K69+M69+O69+Q69+S69+U69+W69+Y69+AA69+AC69+AE69+AG69+AI69+AK69+AM69+AO69+AQ69+AS69+AU69+AW69+AY69+BA69+BC69+BE69+BG69+BI69+BK69+BM69+BO69+BQ69)</f>
        <v>4812360.41379984</v>
      </c>
    </row>
    <row r="70" spans="1:71" x14ac:dyDescent="0.25">
      <c r="A70" s="10" t="s">
        <v>287</v>
      </c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>
        <v>56878</v>
      </c>
      <c r="AC70" s="10">
        <v>92664</v>
      </c>
      <c r="AD70" s="10">
        <v>-307</v>
      </c>
      <c r="AE70" s="10">
        <v>-307</v>
      </c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>
        <v>16128.941200000001</v>
      </c>
      <c r="AQ70" s="10">
        <v>376431.86800000002</v>
      </c>
      <c r="AR70" s="10">
        <v>534917</v>
      </c>
      <c r="AS70" s="10">
        <v>1057774</v>
      </c>
      <c r="AT70" s="10">
        <v>402628</v>
      </c>
      <c r="AU70" s="10">
        <v>817419</v>
      </c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>
        <v>43348</v>
      </c>
      <c r="BO70" s="10">
        <v>392023</v>
      </c>
      <c r="BP70" s="10"/>
      <c r="BQ70" s="10"/>
      <c r="BR70" s="85">
        <f t="shared" si="14"/>
        <v>1053592.9412</v>
      </c>
      <c r="BS70" s="85">
        <f t="shared" si="15"/>
        <v>2736004.8679999998</v>
      </c>
    </row>
    <row r="71" spans="1:71" x14ac:dyDescent="0.25">
      <c r="A71" s="10" t="s">
        <v>288</v>
      </c>
      <c r="B71" s="10"/>
      <c r="C71" s="10"/>
      <c r="D71" s="10"/>
      <c r="E71" s="10"/>
      <c r="F71" s="10"/>
      <c r="G71" s="10"/>
      <c r="H71" s="10"/>
      <c r="I71" s="10"/>
      <c r="J71" s="10">
        <v>53802</v>
      </c>
      <c r="K71" s="10">
        <v>86129</v>
      </c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>
        <v>-37011</v>
      </c>
      <c r="AA71" s="10">
        <v>-105672</v>
      </c>
      <c r="AB71" s="10">
        <v>180475</v>
      </c>
      <c r="AC71" s="10">
        <v>606225</v>
      </c>
      <c r="AD71" s="10">
        <v>132</v>
      </c>
      <c r="AE71" s="10">
        <v>1346</v>
      </c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>
        <v>179201.95737652306</v>
      </c>
      <c r="AQ71" s="10">
        <v>667319.54500000004</v>
      </c>
      <c r="AR71" s="10">
        <v>547743</v>
      </c>
      <c r="AS71" s="10">
        <v>1420436</v>
      </c>
      <c r="AT71" s="10">
        <v>360217</v>
      </c>
      <c r="AU71" s="10">
        <v>894992</v>
      </c>
      <c r="AV71" s="10"/>
      <c r="AW71" s="10"/>
      <c r="AX71" s="10">
        <v>49673</v>
      </c>
      <c r="AY71" s="10">
        <v>160626</v>
      </c>
      <c r="AZ71" s="10"/>
      <c r="BA71" s="10"/>
      <c r="BB71" s="10"/>
      <c r="BC71" s="10"/>
      <c r="BD71" s="10"/>
      <c r="BE71" s="10"/>
      <c r="BF71" s="10">
        <v>308</v>
      </c>
      <c r="BG71" s="10">
        <v>641</v>
      </c>
      <c r="BH71" s="10"/>
      <c r="BI71" s="10"/>
      <c r="BJ71" s="10"/>
      <c r="BK71" s="10"/>
      <c r="BL71" s="10"/>
      <c r="BM71" s="10"/>
      <c r="BN71" s="10">
        <v>216718</v>
      </c>
      <c r="BO71" s="10">
        <v>632481</v>
      </c>
      <c r="BP71" s="10"/>
      <c r="BQ71" s="10"/>
      <c r="BR71" s="85">
        <f t="shared" si="14"/>
        <v>1551258.9573765229</v>
      </c>
      <c r="BS71" s="85">
        <f t="shared" si="15"/>
        <v>4364523.5449999999</v>
      </c>
    </row>
    <row r="72" spans="1:71" x14ac:dyDescent="0.25">
      <c r="A72" s="10" t="s">
        <v>242</v>
      </c>
      <c r="B72" s="10"/>
      <c r="C72" s="10"/>
      <c r="D72" s="10"/>
      <c r="E72" s="10"/>
      <c r="F72" s="10"/>
      <c r="G72" s="10"/>
      <c r="H72" s="10"/>
      <c r="I72" s="10"/>
      <c r="J72" s="10">
        <v>388</v>
      </c>
      <c r="K72" s="10">
        <v>2629</v>
      </c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>
        <v>39</v>
      </c>
      <c r="AA72" s="10">
        <v>114</v>
      </c>
      <c r="AB72" s="10">
        <v>69310</v>
      </c>
      <c r="AC72" s="10">
        <v>127725</v>
      </c>
      <c r="AD72" s="10">
        <v>331</v>
      </c>
      <c r="AE72" s="10">
        <v>736</v>
      </c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>
        <v>60987.093240260961</v>
      </c>
      <c r="AQ72" s="10">
        <v>468316.73679984</v>
      </c>
      <c r="AR72" s="10">
        <v>625413</v>
      </c>
      <c r="AS72" s="10">
        <v>1476940</v>
      </c>
      <c r="AT72" s="10">
        <v>370861</v>
      </c>
      <c r="AU72" s="10">
        <v>614744</v>
      </c>
      <c r="AV72" s="10"/>
      <c r="AW72" s="10"/>
      <c r="AX72" s="10">
        <v>944</v>
      </c>
      <c r="AY72" s="10">
        <v>1043</v>
      </c>
      <c r="AZ72" s="10"/>
      <c r="BA72" s="10"/>
      <c r="BB72" s="10"/>
      <c r="BC72" s="10"/>
      <c r="BD72" s="10"/>
      <c r="BE72" s="10"/>
      <c r="BF72" s="10">
        <v>2</v>
      </c>
      <c r="BG72" s="10">
        <v>4</v>
      </c>
      <c r="BH72" s="10"/>
      <c r="BI72" s="10"/>
      <c r="BJ72" s="10"/>
      <c r="BK72" s="10"/>
      <c r="BL72" s="10"/>
      <c r="BM72" s="10"/>
      <c r="BN72" s="10">
        <v>33380</v>
      </c>
      <c r="BO72" s="10">
        <v>280247</v>
      </c>
      <c r="BP72" s="10"/>
      <c r="BQ72" s="10"/>
      <c r="BR72" s="85">
        <f t="shared" si="14"/>
        <v>1161655.0932402611</v>
      </c>
      <c r="BS72" s="85">
        <f t="shared" si="15"/>
        <v>2972498.7367998399</v>
      </c>
    </row>
    <row r="73" spans="1:71" x14ac:dyDescent="0.25">
      <c r="A73" s="10" t="s">
        <v>243</v>
      </c>
      <c r="B73" s="10"/>
      <c r="C73" s="10"/>
      <c r="D73" s="10"/>
      <c r="E73" s="10"/>
      <c r="F73" s="10"/>
      <c r="G73" s="10"/>
      <c r="H73" s="10"/>
      <c r="I73" s="10"/>
      <c r="J73" s="10">
        <v>24559</v>
      </c>
      <c r="K73" s="10">
        <v>72917</v>
      </c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>
        <v>76</v>
      </c>
      <c r="AA73" s="10">
        <v>296</v>
      </c>
      <c r="AB73" s="10">
        <v>76103</v>
      </c>
      <c r="AC73" s="10">
        <v>130649</v>
      </c>
      <c r="AD73" s="10">
        <v>321</v>
      </c>
      <c r="AE73" s="10">
        <v>753</v>
      </c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>
        <v>-55558.723759739049</v>
      </c>
      <c r="AQ73" s="10">
        <v>310047.84279984003</v>
      </c>
      <c r="AR73" s="10">
        <v>529833</v>
      </c>
      <c r="AS73" s="10">
        <v>1295252</v>
      </c>
      <c r="AT73" s="10">
        <v>267758</v>
      </c>
      <c r="AU73" s="10">
        <v>513355</v>
      </c>
      <c r="AV73" s="10"/>
      <c r="AW73" s="10"/>
      <c r="AX73" s="10">
        <v>234</v>
      </c>
      <c r="AY73" s="10">
        <v>517</v>
      </c>
      <c r="AZ73" s="10"/>
      <c r="BA73" s="10"/>
      <c r="BB73" s="10"/>
      <c r="BC73" s="10"/>
      <c r="BD73" s="10"/>
      <c r="BE73" s="10"/>
      <c r="BF73" s="10">
        <v>2</v>
      </c>
      <c r="BG73" s="10">
        <v>2</v>
      </c>
      <c r="BH73" s="10"/>
      <c r="BI73" s="10"/>
      <c r="BJ73" s="10"/>
      <c r="BK73" s="10"/>
      <c r="BL73" s="10"/>
      <c r="BM73" s="10"/>
      <c r="BN73" s="10">
        <v>26977</v>
      </c>
      <c r="BO73" s="10">
        <v>120697</v>
      </c>
      <c r="BP73" s="10"/>
      <c r="BQ73" s="10"/>
      <c r="BR73" s="85">
        <f t="shared" si="14"/>
        <v>870304.27624026092</v>
      </c>
      <c r="BS73" s="85">
        <f t="shared" si="15"/>
        <v>2444485.84279984</v>
      </c>
    </row>
    <row r="75" spans="1:71" x14ac:dyDescent="0.25">
      <c r="A75" s="29" t="s">
        <v>308</v>
      </c>
    </row>
    <row r="76" spans="1:71" x14ac:dyDescent="0.25">
      <c r="A76" s="1" t="s">
        <v>0</v>
      </c>
      <c r="B76" s="107" t="s">
        <v>1</v>
      </c>
      <c r="C76" s="108"/>
      <c r="D76" s="107" t="s">
        <v>2</v>
      </c>
      <c r="E76" s="108"/>
      <c r="F76" s="107" t="s">
        <v>3</v>
      </c>
      <c r="G76" s="108"/>
      <c r="H76" s="107" t="s">
        <v>307</v>
      </c>
      <c r="I76" s="108"/>
      <c r="J76" s="107" t="s">
        <v>5</v>
      </c>
      <c r="K76" s="108"/>
      <c r="L76" s="107" t="s">
        <v>6</v>
      </c>
      <c r="M76" s="108"/>
      <c r="N76" s="107" t="s">
        <v>7</v>
      </c>
      <c r="O76" s="108"/>
      <c r="P76" s="107" t="s">
        <v>8</v>
      </c>
      <c r="Q76" s="108"/>
      <c r="R76" s="107" t="s">
        <v>9</v>
      </c>
      <c r="S76" s="108"/>
      <c r="T76" s="107" t="s">
        <v>10</v>
      </c>
      <c r="U76" s="108"/>
      <c r="V76" s="107" t="s">
        <v>11</v>
      </c>
      <c r="W76" s="108"/>
      <c r="X76" s="107" t="s">
        <v>12</v>
      </c>
      <c r="Y76" s="108"/>
      <c r="Z76" s="107" t="s">
        <v>13</v>
      </c>
      <c r="AA76" s="108"/>
      <c r="AB76" s="107" t="s">
        <v>14</v>
      </c>
      <c r="AC76" s="108"/>
      <c r="AD76" s="107" t="s">
        <v>15</v>
      </c>
      <c r="AE76" s="108"/>
      <c r="AF76" s="107" t="s">
        <v>16</v>
      </c>
      <c r="AG76" s="108"/>
      <c r="AH76" s="107" t="s">
        <v>17</v>
      </c>
      <c r="AI76" s="108"/>
      <c r="AJ76" s="107" t="s">
        <v>18</v>
      </c>
      <c r="AK76" s="108"/>
      <c r="AL76" s="107" t="s">
        <v>296</v>
      </c>
      <c r="AM76" s="108"/>
      <c r="AN76" s="107" t="s">
        <v>19</v>
      </c>
      <c r="AO76" s="108"/>
      <c r="AP76" s="107" t="s">
        <v>20</v>
      </c>
      <c r="AQ76" s="108"/>
      <c r="AR76" s="107" t="s">
        <v>21</v>
      </c>
      <c r="AS76" s="108"/>
      <c r="AT76" s="107" t="s">
        <v>22</v>
      </c>
      <c r="AU76" s="108"/>
      <c r="AV76" s="107" t="s">
        <v>23</v>
      </c>
      <c r="AW76" s="108"/>
      <c r="AX76" s="107" t="s">
        <v>24</v>
      </c>
      <c r="AY76" s="108"/>
      <c r="AZ76" s="107" t="s">
        <v>25</v>
      </c>
      <c r="BA76" s="108"/>
      <c r="BB76" s="107" t="s">
        <v>26</v>
      </c>
      <c r="BC76" s="108"/>
      <c r="BD76" s="107" t="s">
        <v>27</v>
      </c>
      <c r="BE76" s="108"/>
      <c r="BF76" s="107" t="s">
        <v>28</v>
      </c>
      <c r="BG76" s="108"/>
      <c r="BH76" s="107" t="s">
        <v>29</v>
      </c>
      <c r="BI76" s="108"/>
      <c r="BJ76" s="107" t="s">
        <v>30</v>
      </c>
      <c r="BK76" s="108"/>
      <c r="BL76" s="107" t="s">
        <v>31</v>
      </c>
      <c r="BM76" s="108"/>
      <c r="BN76" s="111" t="s">
        <v>32</v>
      </c>
      <c r="BO76" s="112"/>
      <c r="BP76" s="107" t="s">
        <v>33</v>
      </c>
      <c r="BQ76" s="108"/>
      <c r="BR76" s="109" t="s">
        <v>34</v>
      </c>
      <c r="BS76" s="110"/>
    </row>
    <row r="77" spans="1:71" ht="30" x14ac:dyDescent="0.25">
      <c r="A77" s="1"/>
      <c r="B77" s="66" t="s">
        <v>294</v>
      </c>
      <c r="C77" s="67" t="s">
        <v>295</v>
      </c>
      <c r="D77" s="66" t="s">
        <v>294</v>
      </c>
      <c r="E77" s="67" t="s">
        <v>295</v>
      </c>
      <c r="F77" s="66" t="s">
        <v>294</v>
      </c>
      <c r="G77" s="67" t="s">
        <v>295</v>
      </c>
      <c r="H77" s="66" t="s">
        <v>294</v>
      </c>
      <c r="I77" s="67" t="s">
        <v>295</v>
      </c>
      <c r="J77" s="66" t="s">
        <v>294</v>
      </c>
      <c r="K77" s="67" t="s">
        <v>295</v>
      </c>
      <c r="L77" s="66" t="s">
        <v>294</v>
      </c>
      <c r="M77" s="67" t="s">
        <v>295</v>
      </c>
      <c r="N77" s="66" t="s">
        <v>294</v>
      </c>
      <c r="O77" s="67" t="s">
        <v>295</v>
      </c>
      <c r="P77" s="66" t="s">
        <v>294</v>
      </c>
      <c r="Q77" s="67" t="s">
        <v>295</v>
      </c>
      <c r="R77" s="66" t="s">
        <v>294</v>
      </c>
      <c r="S77" s="67" t="s">
        <v>295</v>
      </c>
      <c r="T77" s="66" t="s">
        <v>294</v>
      </c>
      <c r="U77" s="67" t="s">
        <v>295</v>
      </c>
      <c r="V77" s="66" t="s">
        <v>294</v>
      </c>
      <c r="W77" s="67" t="s">
        <v>295</v>
      </c>
      <c r="X77" s="66" t="s">
        <v>294</v>
      </c>
      <c r="Y77" s="67" t="s">
        <v>295</v>
      </c>
      <c r="Z77" s="66" t="s">
        <v>294</v>
      </c>
      <c r="AA77" s="67" t="s">
        <v>295</v>
      </c>
      <c r="AB77" s="66" t="s">
        <v>294</v>
      </c>
      <c r="AC77" s="67" t="s">
        <v>295</v>
      </c>
      <c r="AD77" s="66" t="s">
        <v>294</v>
      </c>
      <c r="AE77" s="67" t="s">
        <v>295</v>
      </c>
      <c r="AF77" s="66" t="s">
        <v>294</v>
      </c>
      <c r="AG77" s="67" t="s">
        <v>295</v>
      </c>
      <c r="AH77" s="66" t="s">
        <v>294</v>
      </c>
      <c r="AI77" s="67" t="s">
        <v>295</v>
      </c>
      <c r="AJ77" s="66" t="s">
        <v>294</v>
      </c>
      <c r="AK77" s="67" t="s">
        <v>295</v>
      </c>
      <c r="AL77" s="66" t="s">
        <v>294</v>
      </c>
      <c r="AM77" s="67" t="s">
        <v>295</v>
      </c>
      <c r="AN77" s="66" t="s">
        <v>294</v>
      </c>
      <c r="AO77" s="67" t="s">
        <v>295</v>
      </c>
      <c r="AP77" s="66" t="s">
        <v>294</v>
      </c>
      <c r="AQ77" s="67" t="s">
        <v>295</v>
      </c>
      <c r="AR77" s="66" t="s">
        <v>294</v>
      </c>
      <c r="AS77" s="67" t="s">
        <v>295</v>
      </c>
      <c r="AT77" s="66" t="s">
        <v>294</v>
      </c>
      <c r="AU77" s="67" t="s">
        <v>295</v>
      </c>
      <c r="AV77" s="66" t="s">
        <v>294</v>
      </c>
      <c r="AW77" s="67" t="s">
        <v>295</v>
      </c>
      <c r="AX77" s="66" t="s">
        <v>294</v>
      </c>
      <c r="AY77" s="67" t="s">
        <v>295</v>
      </c>
      <c r="AZ77" s="66" t="s">
        <v>294</v>
      </c>
      <c r="BA77" s="67" t="s">
        <v>295</v>
      </c>
      <c r="BB77" s="66" t="s">
        <v>294</v>
      </c>
      <c r="BC77" s="67" t="s">
        <v>295</v>
      </c>
      <c r="BD77" s="66" t="s">
        <v>294</v>
      </c>
      <c r="BE77" s="67" t="s">
        <v>295</v>
      </c>
      <c r="BF77" s="66" t="s">
        <v>294</v>
      </c>
      <c r="BG77" s="67" t="s">
        <v>295</v>
      </c>
      <c r="BH77" s="66" t="s">
        <v>294</v>
      </c>
      <c r="BI77" s="67" t="s">
        <v>295</v>
      </c>
      <c r="BJ77" s="66" t="s">
        <v>294</v>
      </c>
      <c r="BK77" s="67" t="s">
        <v>295</v>
      </c>
      <c r="BL77" s="66" t="s">
        <v>294</v>
      </c>
      <c r="BM77" s="67" t="s">
        <v>295</v>
      </c>
      <c r="BN77" s="66" t="s">
        <v>294</v>
      </c>
      <c r="BO77" s="67" t="s">
        <v>295</v>
      </c>
      <c r="BP77" s="66" t="s">
        <v>294</v>
      </c>
      <c r="BQ77" s="67" t="s">
        <v>295</v>
      </c>
      <c r="BR77" s="66" t="s">
        <v>294</v>
      </c>
      <c r="BS77" s="67" t="s">
        <v>295</v>
      </c>
    </row>
    <row r="78" spans="1:71" x14ac:dyDescent="0.25">
      <c r="A78" s="10" t="s">
        <v>284</v>
      </c>
      <c r="B78" s="10"/>
      <c r="C78" s="10"/>
      <c r="D78" s="10"/>
      <c r="E78" s="10"/>
      <c r="F78" s="10"/>
      <c r="G78" s="10"/>
      <c r="H78" s="10"/>
      <c r="I78" s="10"/>
      <c r="J78" s="10">
        <v>3917912</v>
      </c>
      <c r="K78" s="10">
        <v>22401363</v>
      </c>
      <c r="L78" s="10">
        <v>1953313</v>
      </c>
      <c r="M78" s="10">
        <v>6626205</v>
      </c>
      <c r="N78" s="10">
        <v>-302</v>
      </c>
      <c r="O78" s="10">
        <v>52387</v>
      </c>
      <c r="P78" s="10"/>
      <c r="Q78" s="10"/>
      <c r="R78" s="10"/>
      <c r="S78" s="10"/>
      <c r="T78" s="10"/>
      <c r="U78" s="10"/>
      <c r="V78" s="10">
        <v>3283908</v>
      </c>
      <c r="W78" s="10">
        <v>6286166</v>
      </c>
      <c r="X78" s="10"/>
      <c r="Y78" s="10"/>
      <c r="Z78" s="10">
        <v>587260</v>
      </c>
      <c r="AA78" s="10">
        <v>16318522</v>
      </c>
      <c r="AB78" s="10">
        <v>210418</v>
      </c>
      <c r="AC78" s="10">
        <v>740574</v>
      </c>
      <c r="AD78" s="10">
        <v>6749839</v>
      </c>
      <c r="AE78" s="10">
        <v>17086356</v>
      </c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>
        <v>6921185.8140000002</v>
      </c>
      <c r="AQ78" s="10">
        <v>13479583.942</v>
      </c>
      <c r="AR78" s="10">
        <v>320602</v>
      </c>
      <c r="AS78" s="10">
        <v>13615315</v>
      </c>
      <c r="AT78" s="10"/>
      <c r="AU78" s="10"/>
      <c r="AV78" s="10"/>
      <c r="AW78" s="10"/>
      <c r="AX78" s="10">
        <v>2751012</v>
      </c>
      <c r="AY78" s="10">
        <v>13986827</v>
      </c>
      <c r="AZ78" s="10"/>
      <c r="BA78" s="10"/>
      <c r="BB78" s="10"/>
      <c r="BC78" s="10"/>
      <c r="BD78" s="10">
        <v>2378739</v>
      </c>
      <c r="BE78" s="10">
        <v>6000191</v>
      </c>
      <c r="BF78" s="10">
        <v>6342957</v>
      </c>
      <c r="BG78" s="10">
        <v>18745404</v>
      </c>
      <c r="BH78" s="10"/>
      <c r="BI78" s="10"/>
      <c r="BJ78" s="10"/>
      <c r="BK78" s="10"/>
      <c r="BL78" s="10"/>
      <c r="BM78" s="10"/>
      <c r="BN78" s="10"/>
      <c r="BO78" s="10"/>
      <c r="BP78" s="10">
        <v>6759146</v>
      </c>
      <c r="BQ78" s="10">
        <v>12580212</v>
      </c>
      <c r="BR78" s="85">
        <f t="shared" ref="BR78:BR82" si="16">SUM(B78+D78+F78+H78+J78+L78+N78+P78+R78+T78+V78+X78+Z78+AB78+AD78+AF78+AH78+AJ78+AL78+AN78+AP78+AR78+AT78+AV78+AX78+AZ78+BB78+BD78+BF78+BH78+BJ78+BL78+BN78+BP78)</f>
        <v>42175989.813999996</v>
      </c>
      <c r="BS78" s="85">
        <f t="shared" ref="BS78:BS82" si="17">SUM(C78+E78+G78+I78+K78+M78+O78+Q78+S78+U78+W78+Y78+AA78+AC78+AE78+AG78+AI78+AK78+AM78+AO78+AQ78+AS78+AU78+AW78+AY78+BA78+BC78+BE78+BG78+BI78+BK78+BM78+BO78+BQ78)</f>
        <v>147919105.942</v>
      </c>
    </row>
    <row r="79" spans="1:71" x14ac:dyDescent="0.25">
      <c r="A79" s="10" t="s">
        <v>287</v>
      </c>
      <c r="B79" s="10"/>
      <c r="C79" s="10"/>
      <c r="D79" s="10"/>
      <c r="E79" s="10"/>
      <c r="F79" s="10"/>
      <c r="G79" s="10"/>
      <c r="H79" s="10"/>
      <c r="I79" s="10"/>
      <c r="J79" s="10">
        <v>1</v>
      </c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>
        <v>346561</v>
      </c>
      <c r="Y79" s="10">
        <v>346561</v>
      </c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>
        <v>0</v>
      </c>
      <c r="AQ79" s="10">
        <v>0</v>
      </c>
      <c r="AR79" s="10">
        <v>-292</v>
      </c>
      <c r="AS79" s="10">
        <v>11391</v>
      </c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85">
        <f t="shared" si="16"/>
        <v>346270</v>
      </c>
      <c r="BS79" s="85">
        <f t="shared" si="17"/>
        <v>357952</v>
      </c>
    </row>
    <row r="80" spans="1:71" x14ac:dyDescent="0.25">
      <c r="A80" s="10" t="s">
        <v>288</v>
      </c>
      <c r="B80" s="10"/>
      <c r="C80" s="10"/>
      <c r="D80" s="10"/>
      <c r="E80" s="10"/>
      <c r="F80" s="10"/>
      <c r="G80" s="10"/>
      <c r="H80" s="10"/>
      <c r="I80" s="10"/>
      <c r="J80" s="10">
        <v>1381102</v>
      </c>
      <c r="K80" s="10">
        <v>17623261</v>
      </c>
      <c r="L80" s="10">
        <v>1618575</v>
      </c>
      <c r="M80" s="10">
        <v>5491780</v>
      </c>
      <c r="N80" s="10">
        <v>-257</v>
      </c>
      <c r="O80" s="10">
        <v>46265</v>
      </c>
      <c r="P80" s="10"/>
      <c r="Q80" s="10"/>
      <c r="R80" s="10"/>
      <c r="S80" s="10"/>
      <c r="T80" s="10"/>
      <c r="U80" s="10"/>
      <c r="V80" s="10">
        <v>2621495</v>
      </c>
      <c r="W80" s="10">
        <v>5013010</v>
      </c>
      <c r="X80" s="10">
        <v>159842</v>
      </c>
      <c r="Y80" s="10">
        <v>159842</v>
      </c>
      <c r="Z80" s="10">
        <v>-485418</v>
      </c>
      <c r="AA80" s="10">
        <v>-13386222</v>
      </c>
      <c r="AB80" s="10">
        <v>163618</v>
      </c>
      <c r="AC80" s="10">
        <v>579963</v>
      </c>
      <c r="AD80" s="10">
        <v>5329081</v>
      </c>
      <c r="AE80" s="10">
        <v>13470613</v>
      </c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>
        <v>5942674.0931000002</v>
      </c>
      <c r="AQ80" s="10">
        <v>10309542.9661</v>
      </c>
      <c r="AR80" s="10">
        <v>172856</v>
      </c>
      <c r="AS80" s="10">
        <v>10860374</v>
      </c>
      <c r="AT80" s="10"/>
      <c r="AU80" s="10"/>
      <c r="AV80" s="10"/>
      <c r="AW80" s="10"/>
      <c r="AX80" s="10">
        <v>2210618</v>
      </c>
      <c r="AY80" s="10">
        <v>10995664</v>
      </c>
      <c r="AZ80" s="10"/>
      <c r="BA80" s="10"/>
      <c r="BB80" s="10"/>
      <c r="BC80" s="10"/>
      <c r="BD80" s="10">
        <v>-2624740</v>
      </c>
      <c r="BE80" s="10">
        <v>-4941801</v>
      </c>
      <c r="BF80" s="10">
        <v>3622605</v>
      </c>
      <c r="BG80" s="10">
        <v>13549471</v>
      </c>
      <c r="BH80" s="10"/>
      <c r="BI80" s="10"/>
      <c r="BJ80" s="10"/>
      <c r="BK80" s="10"/>
      <c r="BL80" s="10"/>
      <c r="BM80" s="10"/>
      <c r="BN80" s="10"/>
      <c r="BO80" s="10"/>
      <c r="BP80" s="10">
        <v>5619238</v>
      </c>
      <c r="BQ80" s="10">
        <v>10538290</v>
      </c>
      <c r="BR80" s="85">
        <f t="shared" si="16"/>
        <v>25731289.0931</v>
      </c>
      <c r="BS80" s="85">
        <f t="shared" si="17"/>
        <v>80310052.966100007</v>
      </c>
    </row>
    <row r="81" spans="1:71" x14ac:dyDescent="0.25">
      <c r="A81" s="10" t="s">
        <v>242</v>
      </c>
      <c r="B81" s="10"/>
      <c r="C81" s="10"/>
      <c r="D81" s="10"/>
      <c r="E81" s="10"/>
      <c r="F81" s="10"/>
      <c r="G81" s="10"/>
      <c r="H81" s="10"/>
      <c r="I81" s="10"/>
      <c r="J81" s="10">
        <v>835225</v>
      </c>
      <c r="K81" s="10">
        <v>4778102</v>
      </c>
      <c r="L81" s="10">
        <v>334738</v>
      </c>
      <c r="M81" s="10">
        <v>1134425</v>
      </c>
      <c r="N81" s="10">
        <v>-45</v>
      </c>
      <c r="O81" s="10">
        <v>6122</v>
      </c>
      <c r="P81" s="10"/>
      <c r="Q81" s="10"/>
      <c r="R81" s="10"/>
      <c r="S81" s="10"/>
      <c r="T81" s="10"/>
      <c r="U81" s="10"/>
      <c r="V81" s="10">
        <v>662413</v>
      </c>
      <c r="W81" s="10">
        <v>1273157</v>
      </c>
      <c r="X81" s="10">
        <v>186718</v>
      </c>
      <c r="Y81" s="10">
        <v>186718</v>
      </c>
      <c r="Z81" s="10">
        <v>101841</v>
      </c>
      <c r="AA81" s="10">
        <v>2932300</v>
      </c>
      <c r="AB81" s="10">
        <v>46800</v>
      </c>
      <c r="AC81" s="10">
        <v>160611</v>
      </c>
      <c r="AD81" s="10">
        <v>1420758</v>
      </c>
      <c r="AE81" s="10">
        <v>3615743</v>
      </c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>
        <v>978511.72090000007</v>
      </c>
      <c r="AQ81" s="10">
        <v>3170040.9759</v>
      </c>
      <c r="AR81" s="10">
        <v>147454</v>
      </c>
      <c r="AS81" s="10">
        <v>2766332</v>
      </c>
      <c r="AT81" s="10"/>
      <c r="AU81" s="10"/>
      <c r="AV81" s="10"/>
      <c r="AW81" s="10"/>
      <c r="AX81" s="10">
        <v>540393</v>
      </c>
      <c r="AY81" s="10">
        <v>2991163</v>
      </c>
      <c r="AZ81" s="10"/>
      <c r="BA81" s="10"/>
      <c r="BB81" s="10"/>
      <c r="BC81" s="10"/>
      <c r="BD81" s="10">
        <v>-246001</v>
      </c>
      <c r="BE81" s="10">
        <v>1058390</v>
      </c>
      <c r="BF81" s="10">
        <v>2720352</v>
      </c>
      <c r="BG81" s="10">
        <v>5195933</v>
      </c>
      <c r="BH81" s="10"/>
      <c r="BI81" s="10"/>
      <c r="BJ81" s="10"/>
      <c r="BK81" s="10"/>
      <c r="BL81" s="10"/>
      <c r="BM81" s="10"/>
      <c r="BN81" s="10"/>
      <c r="BO81" s="10"/>
      <c r="BP81" s="10">
        <v>1139908</v>
      </c>
      <c r="BQ81" s="10">
        <v>2041922</v>
      </c>
      <c r="BR81" s="85">
        <f t="shared" si="16"/>
        <v>8869065.7208999991</v>
      </c>
      <c r="BS81" s="85">
        <f t="shared" si="17"/>
        <v>31310958.975900002</v>
      </c>
    </row>
    <row r="82" spans="1:71" x14ac:dyDescent="0.25">
      <c r="A82" s="10" t="s">
        <v>243</v>
      </c>
      <c r="B82" s="10"/>
      <c r="C82" s="10"/>
      <c r="D82" s="10"/>
      <c r="E82" s="10"/>
      <c r="F82" s="10"/>
      <c r="G82" s="10"/>
      <c r="H82" s="10"/>
      <c r="I82" s="10"/>
      <c r="J82" s="10">
        <v>1857334</v>
      </c>
      <c r="K82" s="10">
        <v>4588954</v>
      </c>
      <c r="L82" s="10">
        <v>799521</v>
      </c>
      <c r="M82" s="10">
        <f>1134425+42878</f>
        <v>1177303</v>
      </c>
      <c r="N82" s="10">
        <v>1</v>
      </c>
      <c r="O82" s="10">
        <v>74802</v>
      </c>
      <c r="P82" s="10"/>
      <c r="Q82" s="10"/>
      <c r="R82" s="10"/>
      <c r="S82" s="10"/>
      <c r="T82" s="10"/>
      <c r="U82" s="10"/>
      <c r="V82" s="10">
        <v>873433</v>
      </c>
      <c r="W82" s="10">
        <v>1404500</v>
      </c>
      <c r="X82" s="10">
        <v>186718</v>
      </c>
      <c r="Y82" s="10">
        <v>186718</v>
      </c>
      <c r="Z82" s="10">
        <v>1036023</v>
      </c>
      <c r="AA82" s="10">
        <v>3103688</v>
      </c>
      <c r="AB82" s="10">
        <v>46858</v>
      </c>
      <c r="AC82" s="10">
        <v>160591</v>
      </c>
      <c r="AD82" s="10">
        <v>2302730</v>
      </c>
      <c r="AE82" s="10">
        <v>3275445</v>
      </c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>
        <v>1027146.6545250001</v>
      </c>
      <c r="AQ82" s="10">
        <v>3760054.587975</v>
      </c>
      <c r="AR82" s="10">
        <v>1001008</v>
      </c>
      <c r="AS82" s="10">
        <v>2763624</v>
      </c>
      <c r="AT82" s="10"/>
      <c r="AU82" s="10"/>
      <c r="AV82" s="10"/>
      <c r="AW82" s="10"/>
      <c r="AX82" s="10">
        <v>873667</v>
      </c>
      <c r="AY82" s="10">
        <v>2409201</v>
      </c>
      <c r="AZ82" s="10"/>
      <c r="BA82" s="10"/>
      <c r="BB82" s="10"/>
      <c r="BC82" s="10"/>
      <c r="BD82" s="10">
        <v>530814</v>
      </c>
      <c r="BE82" s="10">
        <v>1063709</v>
      </c>
      <c r="BF82" s="10">
        <v>3137998</v>
      </c>
      <c r="BG82" s="10">
        <v>5264086</v>
      </c>
      <c r="BH82" s="10"/>
      <c r="BI82" s="10"/>
      <c r="BJ82" s="10"/>
      <c r="BK82" s="10"/>
      <c r="BL82" s="10"/>
      <c r="BM82" s="10"/>
      <c r="BN82" s="10"/>
      <c r="BO82" s="10"/>
      <c r="BP82" s="10">
        <v>1755869</v>
      </c>
      <c r="BQ82" s="10">
        <v>2205014</v>
      </c>
      <c r="BR82" s="85">
        <f t="shared" si="16"/>
        <v>15429120.654525001</v>
      </c>
      <c r="BS82" s="85">
        <f t="shared" si="17"/>
        <v>31437689.587974999</v>
      </c>
    </row>
    <row r="84" spans="1:71" x14ac:dyDescent="0.25">
      <c r="A84" s="29" t="s">
        <v>237</v>
      </c>
    </row>
    <row r="85" spans="1:71" x14ac:dyDescent="0.25">
      <c r="A85" s="1" t="s">
        <v>0</v>
      </c>
      <c r="B85" s="107" t="s">
        <v>1</v>
      </c>
      <c r="C85" s="108"/>
      <c r="D85" s="107" t="s">
        <v>2</v>
      </c>
      <c r="E85" s="108"/>
      <c r="F85" s="107" t="s">
        <v>3</v>
      </c>
      <c r="G85" s="108"/>
      <c r="H85" s="107" t="s">
        <v>307</v>
      </c>
      <c r="I85" s="108"/>
      <c r="J85" s="107" t="s">
        <v>5</v>
      </c>
      <c r="K85" s="108"/>
      <c r="L85" s="107" t="s">
        <v>6</v>
      </c>
      <c r="M85" s="108"/>
      <c r="N85" s="107" t="s">
        <v>7</v>
      </c>
      <c r="O85" s="108"/>
      <c r="P85" s="107" t="s">
        <v>8</v>
      </c>
      <c r="Q85" s="108"/>
      <c r="R85" s="107" t="s">
        <v>9</v>
      </c>
      <c r="S85" s="108"/>
      <c r="T85" s="107" t="s">
        <v>10</v>
      </c>
      <c r="U85" s="108"/>
      <c r="V85" s="107" t="s">
        <v>11</v>
      </c>
      <c r="W85" s="108"/>
      <c r="X85" s="107" t="s">
        <v>12</v>
      </c>
      <c r="Y85" s="108"/>
      <c r="Z85" s="107" t="s">
        <v>13</v>
      </c>
      <c r="AA85" s="108"/>
      <c r="AB85" s="107" t="s">
        <v>14</v>
      </c>
      <c r="AC85" s="108"/>
      <c r="AD85" s="107" t="s">
        <v>15</v>
      </c>
      <c r="AE85" s="108"/>
      <c r="AF85" s="107" t="s">
        <v>16</v>
      </c>
      <c r="AG85" s="108"/>
      <c r="AH85" s="107" t="s">
        <v>17</v>
      </c>
      <c r="AI85" s="108"/>
      <c r="AJ85" s="107" t="s">
        <v>18</v>
      </c>
      <c r="AK85" s="108"/>
      <c r="AL85" s="107" t="s">
        <v>296</v>
      </c>
      <c r="AM85" s="108"/>
      <c r="AN85" s="107" t="s">
        <v>19</v>
      </c>
      <c r="AO85" s="108"/>
      <c r="AP85" s="107" t="s">
        <v>20</v>
      </c>
      <c r="AQ85" s="108"/>
      <c r="AR85" s="107" t="s">
        <v>21</v>
      </c>
      <c r="AS85" s="108"/>
      <c r="AT85" s="107" t="s">
        <v>22</v>
      </c>
      <c r="AU85" s="108"/>
      <c r="AV85" s="107" t="s">
        <v>23</v>
      </c>
      <c r="AW85" s="108"/>
      <c r="AX85" s="107" t="s">
        <v>24</v>
      </c>
      <c r="AY85" s="108"/>
      <c r="AZ85" s="107" t="s">
        <v>25</v>
      </c>
      <c r="BA85" s="108"/>
      <c r="BB85" s="107" t="s">
        <v>26</v>
      </c>
      <c r="BC85" s="108"/>
      <c r="BD85" s="107" t="s">
        <v>27</v>
      </c>
      <c r="BE85" s="108"/>
      <c r="BF85" s="107" t="s">
        <v>28</v>
      </c>
      <c r="BG85" s="108"/>
      <c r="BH85" s="107" t="s">
        <v>29</v>
      </c>
      <c r="BI85" s="108"/>
      <c r="BJ85" s="107" t="s">
        <v>30</v>
      </c>
      <c r="BK85" s="108"/>
      <c r="BL85" s="107" t="s">
        <v>31</v>
      </c>
      <c r="BM85" s="108"/>
      <c r="BN85" s="111" t="s">
        <v>32</v>
      </c>
      <c r="BO85" s="112"/>
      <c r="BP85" s="107" t="s">
        <v>33</v>
      </c>
      <c r="BQ85" s="108"/>
      <c r="BR85" s="109" t="s">
        <v>34</v>
      </c>
      <c r="BS85" s="110"/>
    </row>
    <row r="86" spans="1:71" ht="30" x14ac:dyDescent="0.25">
      <c r="A86" s="1"/>
      <c r="B86" s="66" t="s">
        <v>294</v>
      </c>
      <c r="C86" s="67" t="s">
        <v>295</v>
      </c>
      <c r="D86" s="66" t="s">
        <v>294</v>
      </c>
      <c r="E86" s="67" t="s">
        <v>295</v>
      </c>
      <c r="F86" s="66" t="s">
        <v>294</v>
      </c>
      <c r="G86" s="67" t="s">
        <v>295</v>
      </c>
      <c r="H86" s="66" t="s">
        <v>294</v>
      </c>
      <c r="I86" s="67" t="s">
        <v>295</v>
      </c>
      <c r="J86" s="66" t="s">
        <v>294</v>
      </c>
      <c r="K86" s="67" t="s">
        <v>295</v>
      </c>
      <c r="L86" s="66" t="s">
        <v>294</v>
      </c>
      <c r="M86" s="67" t="s">
        <v>295</v>
      </c>
      <c r="N86" s="66" t="s">
        <v>294</v>
      </c>
      <c r="O86" s="67" t="s">
        <v>295</v>
      </c>
      <c r="P86" s="66" t="s">
        <v>294</v>
      </c>
      <c r="Q86" s="67" t="s">
        <v>295</v>
      </c>
      <c r="R86" s="66" t="s">
        <v>294</v>
      </c>
      <c r="S86" s="67" t="s">
        <v>295</v>
      </c>
      <c r="T86" s="66" t="s">
        <v>294</v>
      </c>
      <c r="U86" s="67" t="s">
        <v>295</v>
      </c>
      <c r="V86" s="66" t="s">
        <v>294</v>
      </c>
      <c r="W86" s="67" t="s">
        <v>295</v>
      </c>
      <c r="X86" s="66" t="s">
        <v>294</v>
      </c>
      <c r="Y86" s="67" t="s">
        <v>295</v>
      </c>
      <c r="Z86" s="66" t="s">
        <v>294</v>
      </c>
      <c r="AA86" s="67" t="s">
        <v>295</v>
      </c>
      <c r="AB86" s="66" t="s">
        <v>294</v>
      </c>
      <c r="AC86" s="67" t="s">
        <v>295</v>
      </c>
      <c r="AD86" s="66" t="s">
        <v>294</v>
      </c>
      <c r="AE86" s="67" t="s">
        <v>295</v>
      </c>
      <c r="AF86" s="66" t="s">
        <v>294</v>
      </c>
      <c r="AG86" s="67" t="s">
        <v>295</v>
      </c>
      <c r="AH86" s="66" t="s">
        <v>294</v>
      </c>
      <c r="AI86" s="67" t="s">
        <v>295</v>
      </c>
      <c r="AJ86" s="66" t="s">
        <v>294</v>
      </c>
      <c r="AK86" s="67" t="s">
        <v>295</v>
      </c>
      <c r="AL86" s="66" t="s">
        <v>294</v>
      </c>
      <c r="AM86" s="67" t="s">
        <v>295</v>
      </c>
      <c r="AN86" s="66" t="s">
        <v>294</v>
      </c>
      <c r="AO86" s="67" t="s">
        <v>295</v>
      </c>
      <c r="AP86" s="66" t="s">
        <v>294</v>
      </c>
      <c r="AQ86" s="67" t="s">
        <v>295</v>
      </c>
      <c r="AR86" s="66" t="s">
        <v>294</v>
      </c>
      <c r="AS86" s="67" t="s">
        <v>295</v>
      </c>
      <c r="AT86" s="66" t="s">
        <v>294</v>
      </c>
      <c r="AU86" s="67" t="s">
        <v>295</v>
      </c>
      <c r="AV86" s="66" t="s">
        <v>294</v>
      </c>
      <c r="AW86" s="67" t="s">
        <v>295</v>
      </c>
      <c r="AX86" s="66" t="s">
        <v>294</v>
      </c>
      <c r="AY86" s="67" t="s">
        <v>295</v>
      </c>
      <c r="AZ86" s="66" t="s">
        <v>294</v>
      </c>
      <c r="BA86" s="67" t="s">
        <v>295</v>
      </c>
      <c r="BB86" s="66" t="s">
        <v>294</v>
      </c>
      <c r="BC86" s="67" t="s">
        <v>295</v>
      </c>
      <c r="BD86" s="66" t="s">
        <v>294</v>
      </c>
      <c r="BE86" s="67" t="s">
        <v>295</v>
      </c>
      <c r="BF86" s="66" t="s">
        <v>294</v>
      </c>
      <c r="BG86" s="67" t="s">
        <v>295</v>
      </c>
      <c r="BH86" s="66" t="s">
        <v>294</v>
      </c>
      <c r="BI86" s="67" t="s">
        <v>295</v>
      </c>
      <c r="BJ86" s="66" t="s">
        <v>294</v>
      </c>
      <c r="BK86" s="67" t="s">
        <v>295</v>
      </c>
      <c r="BL86" s="66" t="s">
        <v>294</v>
      </c>
      <c r="BM86" s="67" t="s">
        <v>295</v>
      </c>
      <c r="BN86" s="66" t="s">
        <v>294</v>
      </c>
      <c r="BO86" s="67" t="s">
        <v>295</v>
      </c>
      <c r="BP86" s="66" t="s">
        <v>294</v>
      </c>
      <c r="BQ86" s="67" t="s">
        <v>295</v>
      </c>
      <c r="BR86" s="66" t="s">
        <v>294</v>
      </c>
      <c r="BS86" s="67" t="s">
        <v>295</v>
      </c>
    </row>
    <row r="87" spans="1:71" x14ac:dyDescent="0.25">
      <c r="A87" s="10" t="s">
        <v>284</v>
      </c>
      <c r="B87" s="10">
        <f>B96-B69-B60-B51-B42-B33-B24-B15-B6-B78</f>
        <v>0</v>
      </c>
      <c r="C87" s="10">
        <f>C96-C69-C60-C51-C42-C33-C24-C15-C6-C78</f>
        <v>0</v>
      </c>
      <c r="D87" s="10">
        <f t="shared" ref="D87:BO87" si="18">D96-D69-D60-D51-D42-D33-D24-D15-D6-D78</f>
        <v>0</v>
      </c>
      <c r="E87" s="10">
        <f t="shared" si="18"/>
        <v>0</v>
      </c>
      <c r="F87" s="10">
        <f t="shared" si="18"/>
        <v>13583855</v>
      </c>
      <c r="G87" s="10">
        <f t="shared" si="18"/>
        <v>77370010</v>
      </c>
      <c r="H87" s="10">
        <f t="shared" si="18"/>
        <v>31738</v>
      </c>
      <c r="I87" s="10">
        <f t="shared" si="18"/>
        <v>233166</v>
      </c>
      <c r="J87" s="10">
        <f t="shared" si="18"/>
        <v>2353867</v>
      </c>
      <c r="K87" s="10">
        <f t="shared" si="18"/>
        <v>7542269</v>
      </c>
      <c r="L87" s="10">
        <f t="shared" si="18"/>
        <v>90107</v>
      </c>
      <c r="M87" s="10">
        <f t="shared" si="18"/>
        <v>266255</v>
      </c>
      <c r="N87" s="10">
        <f t="shared" si="18"/>
        <v>111619</v>
      </c>
      <c r="O87" s="10">
        <f t="shared" si="18"/>
        <v>304888</v>
      </c>
      <c r="P87" s="10">
        <f t="shared" si="18"/>
        <v>28415</v>
      </c>
      <c r="Q87" s="10">
        <f t="shared" si="18"/>
        <v>49080</v>
      </c>
      <c r="R87" s="10">
        <f t="shared" si="18"/>
        <v>18</v>
      </c>
      <c r="S87" s="10">
        <f t="shared" si="18"/>
        <v>540</v>
      </c>
      <c r="T87" s="10">
        <f t="shared" si="18"/>
        <v>2849797.59</v>
      </c>
      <c r="U87" s="10">
        <f t="shared" si="18"/>
        <v>8101153.7599999998</v>
      </c>
      <c r="V87" s="10">
        <f t="shared" si="18"/>
        <v>620294</v>
      </c>
      <c r="W87" s="10">
        <f t="shared" si="18"/>
        <v>1479277</v>
      </c>
      <c r="X87" s="10">
        <f t="shared" si="18"/>
        <v>39817</v>
      </c>
      <c r="Y87" s="10">
        <f t="shared" si="18"/>
        <v>131489</v>
      </c>
      <c r="Z87" s="10">
        <f t="shared" si="18"/>
        <v>905717</v>
      </c>
      <c r="AA87" s="10">
        <f t="shared" si="18"/>
        <v>3497395</v>
      </c>
      <c r="AB87" s="10">
        <f t="shared" si="18"/>
        <v>1534881</v>
      </c>
      <c r="AC87" s="10">
        <f t="shared" si="18"/>
        <v>5601535</v>
      </c>
      <c r="AD87" s="10">
        <f t="shared" si="18"/>
        <v>696038</v>
      </c>
      <c r="AE87" s="10">
        <f t="shared" si="18"/>
        <v>2355767</v>
      </c>
      <c r="AF87" s="10">
        <f t="shared" si="18"/>
        <v>39095</v>
      </c>
      <c r="AG87" s="10">
        <f t="shared" si="18"/>
        <v>102034</v>
      </c>
      <c r="AH87" s="10">
        <f t="shared" si="18"/>
        <v>162733</v>
      </c>
      <c r="AI87" s="10">
        <f t="shared" si="18"/>
        <v>516712</v>
      </c>
      <c r="AJ87" s="10">
        <f t="shared" si="18"/>
        <v>78066</v>
      </c>
      <c r="AK87" s="10">
        <f t="shared" si="18"/>
        <v>167225</v>
      </c>
      <c r="AL87" s="10">
        <f t="shared" si="18"/>
        <v>0</v>
      </c>
      <c r="AM87" s="10">
        <f t="shared" si="18"/>
        <v>0</v>
      </c>
      <c r="AN87" s="10">
        <f t="shared" si="18"/>
        <v>0</v>
      </c>
      <c r="AO87" s="10">
        <f t="shared" si="18"/>
        <v>0</v>
      </c>
      <c r="AP87" s="10">
        <f t="shared" si="18"/>
        <v>707397.26726370491</v>
      </c>
      <c r="AQ87" s="10">
        <f t="shared" si="18"/>
        <v>2509976.8331212532</v>
      </c>
      <c r="AR87" s="10">
        <f t="shared" si="18"/>
        <v>1897603</v>
      </c>
      <c r="AS87" s="10">
        <f t="shared" si="18"/>
        <v>8047926</v>
      </c>
      <c r="AT87" s="10">
        <f t="shared" si="18"/>
        <v>4413400</v>
      </c>
      <c r="AU87" s="10">
        <f t="shared" si="18"/>
        <v>19954763</v>
      </c>
      <c r="AV87" s="10">
        <f t="shared" si="18"/>
        <v>99065</v>
      </c>
      <c r="AW87" s="10">
        <f t="shared" si="18"/>
        <v>329545</v>
      </c>
      <c r="AX87" s="10">
        <f t="shared" si="18"/>
        <v>206032</v>
      </c>
      <c r="AY87" s="10">
        <f t="shared" si="18"/>
        <v>621560</v>
      </c>
      <c r="AZ87" s="10">
        <f t="shared" si="18"/>
        <v>0</v>
      </c>
      <c r="BA87" s="10">
        <f t="shared" si="18"/>
        <v>0</v>
      </c>
      <c r="BB87" s="10">
        <f t="shared" si="18"/>
        <v>0</v>
      </c>
      <c r="BC87" s="10">
        <f t="shared" si="18"/>
        <v>0</v>
      </c>
      <c r="BD87" s="10">
        <f t="shared" si="18"/>
        <v>44717</v>
      </c>
      <c r="BE87" s="10">
        <f t="shared" si="18"/>
        <v>171550</v>
      </c>
      <c r="BF87" s="10">
        <f t="shared" si="18"/>
        <v>434593</v>
      </c>
      <c r="BG87" s="10">
        <f t="shared" si="18"/>
        <v>1137167</v>
      </c>
      <c r="BH87" s="10">
        <f t="shared" si="18"/>
        <v>39878</v>
      </c>
      <c r="BI87" s="10">
        <f t="shared" si="18"/>
        <v>109498</v>
      </c>
      <c r="BJ87" s="10">
        <f t="shared" si="18"/>
        <v>16278701</v>
      </c>
      <c r="BK87" s="10">
        <f t="shared" si="18"/>
        <v>43634576</v>
      </c>
      <c r="BL87" s="10">
        <f t="shared" si="18"/>
        <v>657268</v>
      </c>
      <c r="BM87" s="10">
        <f t="shared" si="18"/>
        <v>5105454</v>
      </c>
      <c r="BN87" s="10">
        <f t="shared" si="18"/>
        <v>7453428</v>
      </c>
      <c r="BO87" s="10">
        <f t="shared" si="18"/>
        <v>18263168</v>
      </c>
      <c r="BP87" s="10">
        <f t="shared" ref="BP87:BQ87" si="19">BP96-BP69-BP60-BP51-BP42-BP33-BP24-BP15-BP6-BP78</f>
        <v>116307</v>
      </c>
      <c r="BQ87" s="10">
        <f t="shared" si="19"/>
        <v>434799</v>
      </c>
      <c r="BR87" s="85">
        <f t="shared" ref="BR87:BR91" si="20">SUM(B87+D87+F87+H87+J87+L87+N87+P87+R87+T87+V87+X87+Z87+AB87+AD87+AF87+AH87+AJ87+AL87+AN87+AP87+AR87+AT87+AV87+AX87+AZ87+BB87+BD87+BF87+BH87+BJ87+BL87+BN87+BP87)</f>
        <v>55474446.857263707</v>
      </c>
      <c r="BS87" s="85">
        <f t="shared" ref="BS87:BS91" si="21">SUM(C87+E87+G87+I87+K87+M87+O87+Q87+S87+U87+W87+Y87+AA87+AC87+AE87+AG87+AI87+AK87+AM87+AO87+AQ87+AS87+AU87+AW87+AY87+BA87+BC87+BE87+BG87+BI87+BK87+BM87+BO87+BQ87)</f>
        <v>208038778.59312126</v>
      </c>
    </row>
    <row r="88" spans="1:71" x14ac:dyDescent="0.25">
      <c r="A88" s="10" t="s">
        <v>287</v>
      </c>
      <c r="B88" s="10">
        <f t="shared" ref="B88:Q91" si="22">B97-B70-B61-B52-B43-B34-B25-B16-B7-B79</f>
        <v>0</v>
      </c>
      <c r="C88" s="10">
        <f t="shared" si="22"/>
        <v>0</v>
      </c>
      <c r="D88" s="10">
        <f t="shared" si="22"/>
        <v>0</v>
      </c>
      <c r="E88" s="10">
        <f t="shared" si="22"/>
        <v>0</v>
      </c>
      <c r="F88" s="10">
        <f t="shared" si="22"/>
        <v>0</v>
      </c>
      <c r="G88" s="10">
        <f t="shared" si="22"/>
        <v>-215</v>
      </c>
      <c r="H88" s="10">
        <f t="shared" si="22"/>
        <v>0</v>
      </c>
      <c r="I88" s="10">
        <f t="shared" si="22"/>
        <v>0</v>
      </c>
      <c r="J88" s="10">
        <f t="shared" si="22"/>
        <v>0</v>
      </c>
      <c r="K88" s="10">
        <f t="shared" si="22"/>
        <v>1618</v>
      </c>
      <c r="L88" s="10">
        <f t="shared" si="22"/>
        <v>25</v>
      </c>
      <c r="M88" s="10">
        <f t="shared" si="22"/>
        <v>24</v>
      </c>
      <c r="N88" s="10">
        <f t="shared" si="22"/>
        <v>0</v>
      </c>
      <c r="O88" s="10">
        <f t="shared" si="22"/>
        <v>0</v>
      </c>
      <c r="P88" s="10">
        <f t="shared" si="22"/>
        <v>0</v>
      </c>
      <c r="Q88" s="10">
        <f t="shared" si="22"/>
        <v>0</v>
      </c>
      <c r="R88" s="10">
        <f t="shared" ref="R88:BQ88" si="23">R97-R70-R61-R52-R43-R34-R25-R16-R7-R79</f>
        <v>11</v>
      </c>
      <c r="S88" s="10">
        <f t="shared" si="23"/>
        <v>12</v>
      </c>
      <c r="T88" s="10">
        <f t="shared" si="23"/>
        <v>0</v>
      </c>
      <c r="U88" s="10">
        <f t="shared" si="23"/>
        <v>0</v>
      </c>
      <c r="V88" s="10">
        <f t="shared" si="23"/>
        <v>327</v>
      </c>
      <c r="W88" s="10">
        <f t="shared" si="23"/>
        <v>4726</v>
      </c>
      <c r="X88" s="10">
        <f t="shared" si="23"/>
        <v>2032</v>
      </c>
      <c r="Y88" s="10">
        <f t="shared" si="23"/>
        <v>13565</v>
      </c>
      <c r="Z88" s="10">
        <f t="shared" si="23"/>
        <v>67206</v>
      </c>
      <c r="AA88" s="10">
        <f t="shared" si="23"/>
        <v>183532</v>
      </c>
      <c r="AB88" s="10">
        <f t="shared" si="23"/>
        <v>22738</v>
      </c>
      <c r="AC88" s="10">
        <f t="shared" si="23"/>
        <v>122380</v>
      </c>
      <c r="AD88" s="10">
        <f t="shared" si="23"/>
        <v>8095</v>
      </c>
      <c r="AE88" s="10">
        <f t="shared" si="23"/>
        <v>24935</v>
      </c>
      <c r="AF88" s="10">
        <f t="shared" si="23"/>
        <v>0</v>
      </c>
      <c r="AG88" s="10">
        <f t="shared" si="23"/>
        <v>0</v>
      </c>
      <c r="AH88" s="10">
        <f t="shared" si="23"/>
        <v>1</v>
      </c>
      <c r="AI88" s="10">
        <f t="shared" si="23"/>
        <v>0</v>
      </c>
      <c r="AJ88" s="10">
        <f t="shared" si="23"/>
        <v>192</v>
      </c>
      <c r="AK88" s="10">
        <f t="shared" si="23"/>
        <v>818</v>
      </c>
      <c r="AL88" s="10">
        <f t="shared" si="23"/>
        <v>0</v>
      </c>
      <c r="AM88" s="10">
        <f t="shared" si="23"/>
        <v>0</v>
      </c>
      <c r="AN88" s="10">
        <f t="shared" si="23"/>
        <v>0</v>
      </c>
      <c r="AO88" s="10">
        <f t="shared" si="23"/>
        <v>0</v>
      </c>
      <c r="AP88" s="10">
        <f t="shared" si="23"/>
        <v>-1942.8470084910223</v>
      </c>
      <c r="AQ88" s="10">
        <f t="shared" si="23"/>
        <v>25108.543091768399</v>
      </c>
      <c r="AR88" s="10">
        <f t="shared" si="23"/>
        <v>15018</v>
      </c>
      <c r="AS88" s="10">
        <f t="shared" si="23"/>
        <v>52418</v>
      </c>
      <c r="AT88" s="10">
        <f t="shared" si="23"/>
        <v>192004</v>
      </c>
      <c r="AU88" s="10">
        <f t="shared" si="23"/>
        <v>80739</v>
      </c>
      <c r="AV88" s="10">
        <f t="shared" si="23"/>
        <v>50226</v>
      </c>
      <c r="AW88" s="10">
        <f t="shared" si="23"/>
        <v>151664</v>
      </c>
      <c r="AX88" s="10">
        <f t="shared" si="23"/>
        <v>1</v>
      </c>
      <c r="AY88" s="10">
        <f t="shared" si="23"/>
        <v>125</v>
      </c>
      <c r="AZ88" s="10">
        <f t="shared" si="23"/>
        <v>0</v>
      </c>
      <c r="BA88" s="10">
        <f t="shared" si="23"/>
        <v>0</v>
      </c>
      <c r="BB88" s="10">
        <f t="shared" si="23"/>
        <v>0</v>
      </c>
      <c r="BC88" s="10">
        <f t="shared" si="23"/>
        <v>0</v>
      </c>
      <c r="BD88" s="10">
        <f t="shared" si="23"/>
        <v>0</v>
      </c>
      <c r="BE88" s="10">
        <f t="shared" si="23"/>
        <v>8930</v>
      </c>
      <c r="BF88" s="10">
        <f t="shared" si="23"/>
        <v>0</v>
      </c>
      <c r="BG88" s="10">
        <f t="shared" si="23"/>
        <v>0</v>
      </c>
      <c r="BH88" s="10">
        <f t="shared" si="23"/>
        <v>0</v>
      </c>
      <c r="BI88" s="10">
        <f t="shared" si="23"/>
        <v>0</v>
      </c>
      <c r="BJ88" s="10">
        <f t="shared" si="23"/>
        <v>0</v>
      </c>
      <c r="BK88" s="10">
        <f t="shared" si="23"/>
        <v>0</v>
      </c>
      <c r="BL88" s="10">
        <f t="shared" si="23"/>
        <v>0</v>
      </c>
      <c r="BM88" s="10">
        <f t="shared" si="23"/>
        <v>0</v>
      </c>
      <c r="BN88" s="10">
        <f t="shared" si="23"/>
        <v>16579</v>
      </c>
      <c r="BO88" s="10">
        <f t="shared" si="23"/>
        <v>4219</v>
      </c>
      <c r="BP88" s="10">
        <f t="shared" si="23"/>
        <v>0</v>
      </c>
      <c r="BQ88" s="10">
        <f t="shared" si="23"/>
        <v>0</v>
      </c>
      <c r="BR88" s="85">
        <f t="shared" si="20"/>
        <v>372512.15299150895</v>
      </c>
      <c r="BS88" s="85">
        <f t="shared" si="21"/>
        <v>674598.5430917684</v>
      </c>
    </row>
    <row r="89" spans="1:71" x14ac:dyDescent="0.25">
      <c r="A89" s="10" t="s">
        <v>288</v>
      </c>
      <c r="B89" s="10">
        <f t="shared" si="22"/>
        <v>0</v>
      </c>
      <c r="C89" s="10">
        <f t="shared" si="22"/>
        <v>0</v>
      </c>
      <c r="D89" s="10">
        <f t="shared" si="22"/>
        <v>0</v>
      </c>
      <c r="E89" s="10">
        <f t="shared" si="22"/>
        <v>0</v>
      </c>
      <c r="F89" s="10">
        <f t="shared" si="22"/>
        <v>10529032</v>
      </c>
      <c r="G89" s="10">
        <f t="shared" si="22"/>
        <v>60018772</v>
      </c>
      <c r="H89" s="10">
        <f t="shared" si="22"/>
        <v>10435</v>
      </c>
      <c r="I89" s="10">
        <f t="shared" si="22"/>
        <v>29099</v>
      </c>
      <c r="J89" s="10">
        <f t="shared" si="22"/>
        <v>2659177</v>
      </c>
      <c r="K89" s="10">
        <f t="shared" si="22"/>
        <v>5339259</v>
      </c>
      <c r="L89" s="10">
        <f t="shared" si="22"/>
        <v>45034</v>
      </c>
      <c r="M89" s="10">
        <f t="shared" si="22"/>
        <v>128743</v>
      </c>
      <c r="N89" s="10">
        <f t="shared" si="22"/>
        <v>9159</v>
      </c>
      <c r="O89" s="10">
        <f t="shared" si="22"/>
        <v>26158</v>
      </c>
      <c r="P89" s="10">
        <f t="shared" si="22"/>
        <v>-4533</v>
      </c>
      <c r="Q89" s="10">
        <f t="shared" si="22"/>
        <v>-8057</v>
      </c>
      <c r="R89" s="10">
        <f t="shared" ref="R89:BQ89" si="24">R98-R71-R62-R53-R44-R35-R26-R17-R8-R80</f>
        <v>312</v>
      </c>
      <c r="S89" s="10">
        <f t="shared" si="24"/>
        <v>365</v>
      </c>
      <c r="T89" s="10">
        <f t="shared" si="24"/>
        <v>662475.15</v>
      </c>
      <c r="U89" s="10">
        <f t="shared" si="24"/>
        <v>2236029.06</v>
      </c>
      <c r="V89" s="10">
        <f t="shared" si="24"/>
        <v>141113</v>
      </c>
      <c r="W89" s="10">
        <f t="shared" si="24"/>
        <v>324708</v>
      </c>
      <c r="X89" s="10">
        <f t="shared" si="24"/>
        <v>5921</v>
      </c>
      <c r="Y89" s="10">
        <f t="shared" si="24"/>
        <v>30325</v>
      </c>
      <c r="Z89" s="10">
        <f t="shared" si="24"/>
        <v>-486419</v>
      </c>
      <c r="AA89" s="10">
        <f t="shared" si="24"/>
        <v>-1988323</v>
      </c>
      <c r="AB89" s="10">
        <f t="shared" si="24"/>
        <v>1238435</v>
      </c>
      <c r="AC89" s="10">
        <f t="shared" si="24"/>
        <v>3337441</v>
      </c>
      <c r="AD89" s="10">
        <f t="shared" si="24"/>
        <v>360843</v>
      </c>
      <c r="AE89" s="10">
        <f t="shared" si="24"/>
        <v>1324337</v>
      </c>
      <c r="AF89" s="10">
        <f t="shared" si="24"/>
        <v>11016</v>
      </c>
      <c r="AG89" s="10">
        <f t="shared" si="24"/>
        <v>27042</v>
      </c>
      <c r="AH89" s="10">
        <f t="shared" si="24"/>
        <v>46961</v>
      </c>
      <c r="AI89" s="10">
        <f t="shared" si="24"/>
        <v>260642</v>
      </c>
      <c r="AJ89" s="10">
        <f t="shared" si="24"/>
        <v>-74944</v>
      </c>
      <c r="AK89" s="10">
        <f t="shared" si="24"/>
        <v>-153726</v>
      </c>
      <c r="AL89" s="10">
        <f t="shared" si="24"/>
        <v>0</v>
      </c>
      <c r="AM89" s="10">
        <f t="shared" si="24"/>
        <v>0</v>
      </c>
      <c r="AN89" s="10">
        <f t="shared" si="24"/>
        <v>0</v>
      </c>
      <c r="AO89" s="10">
        <f t="shared" si="24"/>
        <v>0</v>
      </c>
      <c r="AP89" s="10">
        <f t="shared" si="24"/>
        <v>-228047.29862632789</v>
      </c>
      <c r="AQ89" s="10">
        <f t="shared" si="24"/>
        <v>626516.33794765174</v>
      </c>
      <c r="AR89" s="10">
        <f t="shared" si="24"/>
        <v>362709</v>
      </c>
      <c r="AS89" s="10">
        <f t="shared" si="24"/>
        <v>1803135</v>
      </c>
      <c r="AT89" s="10">
        <f t="shared" si="24"/>
        <v>3133851</v>
      </c>
      <c r="AU89" s="10">
        <f t="shared" si="24"/>
        <v>13625063</v>
      </c>
      <c r="AV89" s="10">
        <f t="shared" si="24"/>
        <v>51908</v>
      </c>
      <c r="AW89" s="10">
        <f t="shared" si="24"/>
        <v>186548</v>
      </c>
      <c r="AX89" s="10">
        <f t="shared" si="24"/>
        <v>56102</v>
      </c>
      <c r="AY89" s="10">
        <f t="shared" si="24"/>
        <v>171045</v>
      </c>
      <c r="AZ89" s="10">
        <f t="shared" si="24"/>
        <v>0</v>
      </c>
      <c r="BA89" s="10">
        <f t="shared" si="24"/>
        <v>0</v>
      </c>
      <c r="BB89" s="10">
        <f t="shared" si="24"/>
        <v>0</v>
      </c>
      <c r="BC89" s="10">
        <f t="shared" si="24"/>
        <v>0</v>
      </c>
      <c r="BD89" s="10">
        <f t="shared" si="24"/>
        <v>-18716</v>
      </c>
      <c r="BE89" s="10">
        <f t="shared" si="24"/>
        <v>-88576</v>
      </c>
      <c r="BF89" s="10">
        <f t="shared" si="24"/>
        <v>164112</v>
      </c>
      <c r="BG89" s="10">
        <f t="shared" si="24"/>
        <v>427345</v>
      </c>
      <c r="BH89" s="10">
        <f t="shared" si="24"/>
        <v>12515</v>
      </c>
      <c r="BI89" s="10">
        <f t="shared" si="24"/>
        <v>24860</v>
      </c>
      <c r="BJ89" s="10">
        <f t="shared" si="24"/>
        <v>3827029</v>
      </c>
      <c r="BK89" s="10">
        <f t="shared" si="24"/>
        <v>10221524</v>
      </c>
      <c r="BL89" s="10">
        <f t="shared" si="24"/>
        <v>266262</v>
      </c>
      <c r="BM89" s="10">
        <f t="shared" si="24"/>
        <v>2813037</v>
      </c>
      <c r="BN89" s="10">
        <f t="shared" si="24"/>
        <v>5338332</v>
      </c>
      <c r="BO89" s="10">
        <f t="shared" si="24"/>
        <v>12295060</v>
      </c>
      <c r="BP89" s="10">
        <f t="shared" si="24"/>
        <v>13000</v>
      </c>
      <c r="BQ89" s="10">
        <f t="shared" si="24"/>
        <v>110174</v>
      </c>
      <c r="BR89" s="85">
        <f t="shared" si="20"/>
        <v>28133073.851373672</v>
      </c>
      <c r="BS89" s="85">
        <f t="shared" si="21"/>
        <v>113148545.39794765</v>
      </c>
    </row>
    <row r="90" spans="1:71" x14ac:dyDescent="0.25">
      <c r="A90" s="10" t="s">
        <v>242</v>
      </c>
      <c r="B90" s="10">
        <f t="shared" si="22"/>
        <v>0</v>
      </c>
      <c r="C90" s="10">
        <f t="shared" si="22"/>
        <v>0</v>
      </c>
      <c r="D90" s="10">
        <f t="shared" si="22"/>
        <v>0</v>
      </c>
      <c r="E90" s="10">
        <f t="shared" si="22"/>
        <v>0</v>
      </c>
      <c r="F90" s="10">
        <f t="shared" si="22"/>
        <v>3054823</v>
      </c>
      <c r="G90" s="10">
        <f t="shared" si="22"/>
        <v>17351023</v>
      </c>
      <c r="H90" s="10">
        <f t="shared" si="22"/>
        <v>21303</v>
      </c>
      <c r="I90" s="10">
        <f t="shared" si="22"/>
        <v>204067</v>
      </c>
      <c r="J90" s="10">
        <f t="shared" si="22"/>
        <v>1396276</v>
      </c>
      <c r="K90" s="10">
        <f t="shared" si="22"/>
        <v>2204628</v>
      </c>
      <c r="L90" s="10">
        <f t="shared" si="22"/>
        <v>45100</v>
      </c>
      <c r="M90" s="10">
        <f t="shared" si="22"/>
        <v>137535</v>
      </c>
      <c r="N90" s="10">
        <f t="shared" si="22"/>
        <v>102460</v>
      </c>
      <c r="O90" s="10">
        <f t="shared" si="22"/>
        <v>278730</v>
      </c>
      <c r="P90" s="10">
        <f t="shared" si="22"/>
        <v>23882</v>
      </c>
      <c r="Q90" s="10">
        <f t="shared" si="22"/>
        <v>41023</v>
      </c>
      <c r="R90" s="10">
        <f t="shared" ref="R90:BQ90" si="25">R99-R72-R63-R54-R45-R36-R27-R18-R9-R81</f>
        <v>-283</v>
      </c>
      <c r="S90" s="10">
        <f t="shared" si="25"/>
        <v>187</v>
      </c>
      <c r="T90" s="10">
        <f t="shared" si="25"/>
        <v>2187322.44</v>
      </c>
      <c r="U90" s="10">
        <f t="shared" si="25"/>
        <v>5865124.7000000002</v>
      </c>
      <c r="V90" s="10">
        <f t="shared" si="25"/>
        <v>479511</v>
      </c>
      <c r="W90" s="10">
        <f t="shared" si="25"/>
        <v>1159296</v>
      </c>
      <c r="X90" s="10">
        <f t="shared" si="25"/>
        <v>35928</v>
      </c>
      <c r="Y90" s="10">
        <f t="shared" si="25"/>
        <v>114729</v>
      </c>
      <c r="Z90" s="10">
        <f t="shared" si="25"/>
        <v>486507</v>
      </c>
      <c r="AA90" s="10">
        <f t="shared" si="25"/>
        <v>1692605</v>
      </c>
      <c r="AB90" s="10">
        <f t="shared" si="25"/>
        <v>319184</v>
      </c>
      <c r="AC90" s="10">
        <f t="shared" si="25"/>
        <v>2386474</v>
      </c>
      <c r="AD90" s="10">
        <f t="shared" si="25"/>
        <v>343290</v>
      </c>
      <c r="AE90" s="10">
        <f t="shared" si="25"/>
        <v>1056365</v>
      </c>
      <c r="AF90" s="10">
        <f t="shared" si="25"/>
        <v>28079</v>
      </c>
      <c r="AG90" s="10">
        <f t="shared" si="25"/>
        <v>74992</v>
      </c>
      <c r="AH90" s="10">
        <f t="shared" si="25"/>
        <v>115771</v>
      </c>
      <c r="AI90" s="10">
        <f t="shared" si="25"/>
        <v>256069</v>
      </c>
      <c r="AJ90" s="10">
        <f t="shared" si="25"/>
        <v>3314</v>
      </c>
      <c r="AK90" s="10">
        <f t="shared" si="25"/>
        <v>14317</v>
      </c>
      <c r="AL90" s="10">
        <f t="shared" si="25"/>
        <v>0</v>
      </c>
      <c r="AM90" s="10">
        <f t="shared" si="25"/>
        <v>0</v>
      </c>
      <c r="AN90" s="10">
        <f t="shared" si="25"/>
        <v>0</v>
      </c>
      <c r="AO90" s="10">
        <f t="shared" si="25"/>
        <v>0</v>
      </c>
      <c r="AP90" s="10">
        <f t="shared" si="25"/>
        <v>933501.71888154466</v>
      </c>
      <c r="AQ90" s="10">
        <f t="shared" si="25"/>
        <v>1908569.038265354</v>
      </c>
      <c r="AR90" s="10">
        <f t="shared" si="25"/>
        <v>1549912</v>
      </c>
      <c r="AS90" s="10">
        <f t="shared" si="25"/>
        <v>6297209</v>
      </c>
      <c r="AT90" s="10">
        <f t="shared" si="25"/>
        <v>1471553</v>
      </c>
      <c r="AU90" s="10">
        <f t="shared" si="25"/>
        <v>6410439</v>
      </c>
      <c r="AV90" s="10">
        <f t="shared" si="25"/>
        <v>97383</v>
      </c>
      <c r="AW90" s="10">
        <f t="shared" si="25"/>
        <v>294662</v>
      </c>
      <c r="AX90" s="10">
        <f t="shared" si="25"/>
        <v>149932</v>
      </c>
      <c r="AY90" s="10">
        <f t="shared" si="25"/>
        <v>450640</v>
      </c>
      <c r="AZ90" s="10">
        <f t="shared" si="25"/>
        <v>0</v>
      </c>
      <c r="BA90" s="10">
        <f t="shared" si="25"/>
        <v>0</v>
      </c>
      <c r="BB90" s="10">
        <f t="shared" si="25"/>
        <v>0</v>
      </c>
      <c r="BC90" s="10">
        <f t="shared" si="25"/>
        <v>0</v>
      </c>
      <c r="BD90" s="10">
        <f t="shared" si="25"/>
        <v>26001</v>
      </c>
      <c r="BE90" s="10">
        <f t="shared" si="25"/>
        <v>91904</v>
      </c>
      <c r="BF90" s="10">
        <f t="shared" si="25"/>
        <v>270481</v>
      </c>
      <c r="BG90" s="10">
        <f t="shared" si="25"/>
        <v>709822</v>
      </c>
      <c r="BH90" s="10">
        <f t="shared" si="25"/>
        <v>27362</v>
      </c>
      <c r="BI90" s="10">
        <f t="shared" si="25"/>
        <v>84637</v>
      </c>
      <c r="BJ90" s="10">
        <f t="shared" si="25"/>
        <v>12451671</v>
      </c>
      <c r="BK90" s="10">
        <f t="shared" si="25"/>
        <v>33413052</v>
      </c>
      <c r="BL90" s="10">
        <f t="shared" si="25"/>
        <v>391006</v>
      </c>
      <c r="BM90" s="10">
        <f t="shared" si="25"/>
        <v>2292417</v>
      </c>
      <c r="BN90" s="10">
        <f t="shared" si="25"/>
        <v>2131675</v>
      </c>
      <c r="BO90" s="10">
        <f t="shared" si="25"/>
        <v>5834161</v>
      </c>
      <c r="BP90" s="10">
        <f t="shared" si="25"/>
        <v>103307</v>
      </c>
      <c r="BQ90" s="10">
        <f t="shared" si="25"/>
        <v>324625</v>
      </c>
      <c r="BR90" s="85">
        <f t="shared" si="20"/>
        <v>28246252.158881545</v>
      </c>
      <c r="BS90" s="85">
        <f t="shared" si="21"/>
        <v>90949301.73826535</v>
      </c>
    </row>
    <row r="91" spans="1:71" x14ac:dyDescent="0.25">
      <c r="A91" s="10" t="s">
        <v>243</v>
      </c>
      <c r="B91" s="10">
        <f t="shared" si="22"/>
        <v>0</v>
      </c>
      <c r="C91" s="10">
        <f t="shared" si="22"/>
        <v>0</v>
      </c>
      <c r="D91" s="10">
        <f t="shared" si="22"/>
        <v>0</v>
      </c>
      <c r="E91" s="10">
        <f t="shared" si="22"/>
        <v>0</v>
      </c>
      <c r="F91" s="10">
        <f t="shared" si="22"/>
        <v>1564332</v>
      </c>
      <c r="G91" s="10">
        <f t="shared" si="22"/>
        <v>14953975</v>
      </c>
      <c r="H91" s="10">
        <f t="shared" si="22"/>
        <v>35981</v>
      </c>
      <c r="I91" s="10">
        <f t="shared" si="22"/>
        <v>211413</v>
      </c>
      <c r="J91" s="10">
        <f t="shared" si="22"/>
        <v>961672</v>
      </c>
      <c r="K91" s="10">
        <f t="shared" si="22"/>
        <v>2736292</v>
      </c>
      <c r="L91" s="10">
        <f t="shared" si="22"/>
        <v>38392</v>
      </c>
      <c r="M91" s="10">
        <f t="shared" si="22"/>
        <v>104473</v>
      </c>
      <c r="N91" s="10">
        <f t="shared" si="22"/>
        <v>97900</v>
      </c>
      <c r="O91" s="10">
        <f t="shared" si="22"/>
        <v>299508</v>
      </c>
      <c r="P91" s="10">
        <f t="shared" si="22"/>
        <v>10861</v>
      </c>
      <c r="Q91" s="10">
        <f t="shared" si="22"/>
        <v>18186</v>
      </c>
      <c r="R91" s="10">
        <f t="shared" ref="R91:BQ91" si="26">R100-R73-R64-R55-R46-R37-R28-R19-R10-R82</f>
        <v>-301</v>
      </c>
      <c r="S91" s="10">
        <f t="shared" si="26"/>
        <v>215</v>
      </c>
      <c r="T91" s="10">
        <f t="shared" si="26"/>
        <v>2269571.2599999998</v>
      </c>
      <c r="U91" s="10">
        <f t="shared" si="26"/>
        <v>5957559.0499999998</v>
      </c>
      <c r="V91" s="10">
        <f t="shared" si="26"/>
        <v>330798</v>
      </c>
      <c r="W91" s="10">
        <f t="shared" si="26"/>
        <v>892467</v>
      </c>
      <c r="X91" s="10">
        <f t="shared" si="26"/>
        <v>46155</v>
      </c>
      <c r="Y91" s="10">
        <f t="shared" si="26"/>
        <v>109363</v>
      </c>
      <c r="Z91" s="10">
        <f t="shared" si="26"/>
        <v>476734</v>
      </c>
      <c r="AA91" s="10">
        <f t="shared" si="26"/>
        <v>1444418</v>
      </c>
      <c r="AB91" s="10">
        <f t="shared" si="26"/>
        <v>851861</v>
      </c>
      <c r="AC91" s="10">
        <f t="shared" si="26"/>
        <v>2667765</v>
      </c>
      <c r="AD91" s="10">
        <f t="shared" si="26"/>
        <v>346110</v>
      </c>
      <c r="AE91" s="10">
        <f t="shared" si="26"/>
        <v>978193</v>
      </c>
      <c r="AF91" s="10">
        <f t="shared" si="26"/>
        <v>7356</v>
      </c>
      <c r="AG91" s="10">
        <f t="shared" si="26"/>
        <v>18599</v>
      </c>
      <c r="AH91" s="10">
        <f t="shared" si="26"/>
        <v>85255</v>
      </c>
      <c r="AI91" s="10">
        <f t="shared" si="26"/>
        <v>216682</v>
      </c>
      <c r="AJ91" s="10">
        <f t="shared" si="26"/>
        <v>7094</v>
      </c>
      <c r="AK91" s="10">
        <f t="shared" si="26"/>
        <v>21553</v>
      </c>
      <c r="AL91" s="10">
        <f t="shared" si="26"/>
        <v>0</v>
      </c>
      <c r="AM91" s="10">
        <f t="shared" si="26"/>
        <v>0</v>
      </c>
      <c r="AN91" s="10">
        <f t="shared" si="26"/>
        <v>0</v>
      </c>
      <c r="AO91" s="10">
        <f t="shared" si="26"/>
        <v>0</v>
      </c>
      <c r="AP91" s="10">
        <f t="shared" si="26"/>
        <v>866543.33888154454</v>
      </c>
      <c r="AQ91" s="10">
        <f t="shared" si="26"/>
        <v>2328320.3072653376</v>
      </c>
      <c r="AR91" s="10">
        <f t="shared" si="26"/>
        <v>2166716</v>
      </c>
      <c r="AS91" s="10">
        <f t="shared" si="26"/>
        <v>6525540</v>
      </c>
      <c r="AT91" s="10">
        <f t="shared" si="26"/>
        <v>2889725</v>
      </c>
      <c r="AU91" s="10">
        <f t="shared" si="26"/>
        <v>6839543</v>
      </c>
      <c r="AV91" s="10">
        <f t="shared" si="26"/>
        <v>87312</v>
      </c>
      <c r="AW91" s="10">
        <f t="shared" si="26"/>
        <v>239875</v>
      </c>
      <c r="AX91" s="10">
        <f t="shared" si="26"/>
        <v>137247</v>
      </c>
      <c r="AY91" s="10">
        <f t="shared" si="26"/>
        <v>428499</v>
      </c>
      <c r="AZ91" s="10">
        <f t="shared" si="26"/>
        <v>0</v>
      </c>
      <c r="BA91" s="10">
        <f t="shared" si="26"/>
        <v>0</v>
      </c>
      <c r="BB91" s="10">
        <f t="shared" si="26"/>
        <v>0</v>
      </c>
      <c r="BC91" s="10">
        <f t="shared" si="26"/>
        <v>0</v>
      </c>
      <c r="BD91" s="10">
        <f t="shared" si="26"/>
        <v>28957</v>
      </c>
      <c r="BE91" s="10">
        <f t="shared" si="26"/>
        <v>91813</v>
      </c>
      <c r="BF91" s="10">
        <f t="shared" si="26"/>
        <v>279301</v>
      </c>
      <c r="BG91" s="10">
        <f t="shared" si="26"/>
        <v>821089</v>
      </c>
      <c r="BH91" s="10">
        <f t="shared" si="26"/>
        <v>30134</v>
      </c>
      <c r="BI91" s="10">
        <f t="shared" si="26"/>
        <v>90788</v>
      </c>
      <c r="BJ91" s="10">
        <f t="shared" si="26"/>
        <v>10856209</v>
      </c>
      <c r="BK91" s="10">
        <f t="shared" si="26"/>
        <v>29351207</v>
      </c>
      <c r="BL91" s="10">
        <f t="shared" si="26"/>
        <v>362114</v>
      </c>
      <c r="BM91" s="10">
        <f t="shared" si="26"/>
        <v>2277556</v>
      </c>
      <c r="BN91" s="10">
        <f t="shared" si="26"/>
        <v>2032463</v>
      </c>
      <c r="BO91" s="10">
        <f t="shared" si="26"/>
        <v>5823030</v>
      </c>
      <c r="BP91" s="10">
        <f t="shared" si="26"/>
        <v>148501</v>
      </c>
      <c r="BQ91" s="10">
        <f t="shared" si="26"/>
        <v>403566</v>
      </c>
      <c r="BR91" s="85">
        <f t="shared" si="20"/>
        <v>27014993.598881543</v>
      </c>
      <c r="BS91" s="85">
        <f t="shared" si="21"/>
        <v>85851487.357265338</v>
      </c>
    </row>
    <row r="93" spans="1:71" x14ac:dyDescent="0.25">
      <c r="A93" s="29" t="s">
        <v>55</v>
      </c>
    </row>
    <row r="94" spans="1:71" x14ac:dyDescent="0.25">
      <c r="A94" s="1" t="s">
        <v>0</v>
      </c>
      <c r="B94" s="107" t="s">
        <v>1</v>
      </c>
      <c r="C94" s="108"/>
      <c r="D94" s="107" t="s">
        <v>2</v>
      </c>
      <c r="E94" s="108"/>
      <c r="F94" s="107" t="s">
        <v>3</v>
      </c>
      <c r="G94" s="108"/>
      <c r="H94" s="107" t="s">
        <v>307</v>
      </c>
      <c r="I94" s="108"/>
      <c r="J94" s="107" t="s">
        <v>5</v>
      </c>
      <c r="K94" s="108"/>
      <c r="L94" s="107" t="s">
        <v>6</v>
      </c>
      <c r="M94" s="108"/>
      <c r="N94" s="107" t="s">
        <v>7</v>
      </c>
      <c r="O94" s="108"/>
      <c r="P94" s="107" t="s">
        <v>8</v>
      </c>
      <c r="Q94" s="108"/>
      <c r="R94" s="107" t="s">
        <v>9</v>
      </c>
      <c r="S94" s="108"/>
      <c r="T94" s="107" t="s">
        <v>10</v>
      </c>
      <c r="U94" s="108"/>
      <c r="V94" s="107" t="s">
        <v>11</v>
      </c>
      <c r="W94" s="108"/>
      <c r="X94" s="107" t="s">
        <v>12</v>
      </c>
      <c r="Y94" s="108"/>
      <c r="Z94" s="107" t="s">
        <v>13</v>
      </c>
      <c r="AA94" s="108"/>
      <c r="AB94" s="107" t="s">
        <v>14</v>
      </c>
      <c r="AC94" s="108"/>
      <c r="AD94" s="107" t="s">
        <v>15</v>
      </c>
      <c r="AE94" s="108"/>
      <c r="AF94" s="107" t="s">
        <v>16</v>
      </c>
      <c r="AG94" s="108"/>
      <c r="AH94" s="107" t="s">
        <v>17</v>
      </c>
      <c r="AI94" s="108"/>
      <c r="AJ94" s="107" t="s">
        <v>18</v>
      </c>
      <c r="AK94" s="108"/>
      <c r="AL94" s="107" t="s">
        <v>296</v>
      </c>
      <c r="AM94" s="108"/>
      <c r="AN94" s="107" t="s">
        <v>19</v>
      </c>
      <c r="AO94" s="108"/>
      <c r="AP94" s="107" t="s">
        <v>20</v>
      </c>
      <c r="AQ94" s="108"/>
      <c r="AR94" s="107" t="s">
        <v>21</v>
      </c>
      <c r="AS94" s="108"/>
      <c r="AT94" s="107" t="s">
        <v>22</v>
      </c>
      <c r="AU94" s="108"/>
      <c r="AV94" s="107" t="s">
        <v>23</v>
      </c>
      <c r="AW94" s="108"/>
      <c r="AX94" s="107" t="s">
        <v>24</v>
      </c>
      <c r="AY94" s="108"/>
      <c r="AZ94" s="107" t="s">
        <v>25</v>
      </c>
      <c r="BA94" s="108"/>
      <c r="BB94" s="107" t="s">
        <v>26</v>
      </c>
      <c r="BC94" s="108"/>
      <c r="BD94" s="107" t="s">
        <v>27</v>
      </c>
      <c r="BE94" s="108"/>
      <c r="BF94" s="107" t="s">
        <v>28</v>
      </c>
      <c r="BG94" s="108"/>
      <c r="BH94" s="107" t="s">
        <v>29</v>
      </c>
      <c r="BI94" s="108"/>
      <c r="BJ94" s="107" t="s">
        <v>30</v>
      </c>
      <c r="BK94" s="108"/>
      <c r="BL94" s="107" t="s">
        <v>31</v>
      </c>
      <c r="BM94" s="108"/>
      <c r="BN94" s="111" t="s">
        <v>32</v>
      </c>
      <c r="BO94" s="112"/>
      <c r="BP94" s="107" t="s">
        <v>33</v>
      </c>
      <c r="BQ94" s="108"/>
      <c r="BR94" s="109" t="s">
        <v>34</v>
      </c>
      <c r="BS94" s="110"/>
    </row>
    <row r="95" spans="1:71" ht="30" x14ac:dyDescent="0.25">
      <c r="A95" s="1"/>
      <c r="B95" s="66" t="s">
        <v>294</v>
      </c>
      <c r="C95" s="67" t="s">
        <v>295</v>
      </c>
      <c r="D95" s="66" t="s">
        <v>294</v>
      </c>
      <c r="E95" s="67" t="s">
        <v>295</v>
      </c>
      <c r="F95" s="66" t="s">
        <v>294</v>
      </c>
      <c r="G95" s="67" t="s">
        <v>295</v>
      </c>
      <c r="H95" s="66" t="s">
        <v>294</v>
      </c>
      <c r="I95" s="67" t="s">
        <v>295</v>
      </c>
      <c r="J95" s="66" t="s">
        <v>294</v>
      </c>
      <c r="K95" s="67" t="s">
        <v>295</v>
      </c>
      <c r="L95" s="66" t="s">
        <v>294</v>
      </c>
      <c r="M95" s="67" t="s">
        <v>295</v>
      </c>
      <c r="N95" s="66" t="s">
        <v>294</v>
      </c>
      <c r="O95" s="67" t="s">
        <v>295</v>
      </c>
      <c r="P95" s="66" t="s">
        <v>294</v>
      </c>
      <c r="Q95" s="67" t="s">
        <v>295</v>
      </c>
      <c r="R95" s="66" t="s">
        <v>294</v>
      </c>
      <c r="S95" s="67" t="s">
        <v>295</v>
      </c>
      <c r="T95" s="66" t="s">
        <v>294</v>
      </c>
      <c r="U95" s="67" t="s">
        <v>295</v>
      </c>
      <c r="V95" s="66" t="s">
        <v>294</v>
      </c>
      <c r="W95" s="67" t="s">
        <v>295</v>
      </c>
      <c r="X95" s="66" t="s">
        <v>294</v>
      </c>
      <c r="Y95" s="67" t="s">
        <v>295</v>
      </c>
      <c r="Z95" s="66" t="s">
        <v>294</v>
      </c>
      <c r="AA95" s="67" t="s">
        <v>295</v>
      </c>
      <c r="AB95" s="66" t="s">
        <v>294</v>
      </c>
      <c r="AC95" s="67" t="s">
        <v>295</v>
      </c>
      <c r="AD95" s="66" t="s">
        <v>294</v>
      </c>
      <c r="AE95" s="67" t="s">
        <v>295</v>
      </c>
      <c r="AF95" s="66" t="s">
        <v>294</v>
      </c>
      <c r="AG95" s="67" t="s">
        <v>295</v>
      </c>
      <c r="AH95" s="66" t="s">
        <v>294</v>
      </c>
      <c r="AI95" s="67" t="s">
        <v>295</v>
      </c>
      <c r="AJ95" s="66" t="s">
        <v>294</v>
      </c>
      <c r="AK95" s="67" t="s">
        <v>295</v>
      </c>
      <c r="AL95" s="66" t="s">
        <v>294</v>
      </c>
      <c r="AM95" s="67" t="s">
        <v>295</v>
      </c>
      <c r="AN95" s="66" t="s">
        <v>294</v>
      </c>
      <c r="AO95" s="67" t="s">
        <v>295</v>
      </c>
      <c r="AP95" s="66" t="s">
        <v>294</v>
      </c>
      <c r="AQ95" s="67" t="s">
        <v>295</v>
      </c>
      <c r="AR95" s="66" t="s">
        <v>294</v>
      </c>
      <c r="AS95" s="67" t="s">
        <v>295</v>
      </c>
      <c r="AT95" s="66" t="s">
        <v>294</v>
      </c>
      <c r="AU95" s="67" t="s">
        <v>295</v>
      </c>
      <c r="AV95" s="66" t="s">
        <v>294</v>
      </c>
      <c r="AW95" s="67" t="s">
        <v>295</v>
      </c>
      <c r="AX95" s="66" t="s">
        <v>294</v>
      </c>
      <c r="AY95" s="67" t="s">
        <v>295</v>
      </c>
      <c r="AZ95" s="66" t="s">
        <v>294</v>
      </c>
      <c r="BA95" s="67" t="s">
        <v>295</v>
      </c>
      <c r="BB95" s="66" t="s">
        <v>294</v>
      </c>
      <c r="BC95" s="67" t="s">
        <v>295</v>
      </c>
      <c r="BD95" s="66" t="s">
        <v>294</v>
      </c>
      <c r="BE95" s="67" t="s">
        <v>295</v>
      </c>
      <c r="BF95" s="66" t="s">
        <v>294</v>
      </c>
      <c r="BG95" s="67" t="s">
        <v>295</v>
      </c>
      <c r="BH95" s="66" t="s">
        <v>294</v>
      </c>
      <c r="BI95" s="67" t="s">
        <v>295</v>
      </c>
      <c r="BJ95" s="66" t="s">
        <v>294</v>
      </c>
      <c r="BK95" s="67" t="s">
        <v>295</v>
      </c>
      <c r="BL95" s="66" t="s">
        <v>294</v>
      </c>
      <c r="BM95" s="67" t="s">
        <v>295</v>
      </c>
      <c r="BN95" s="66" t="s">
        <v>294</v>
      </c>
      <c r="BO95" s="67" t="s">
        <v>295</v>
      </c>
      <c r="BP95" s="66" t="s">
        <v>294</v>
      </c>
      <c r="BQ95" s="67" t="s">
        <v>295</v>
      </c>
      <c r="BR95" s="66" t="s">
        <v>294</v>
      </c>
      <c r="BS95" s="67" t="s">
        <v>295</v>
      </c>
    </row>
    <row r="96" spans="1:71" x14ac:dyDescent="0.25">
      <c r="A96" s="10" t="s">
        <v>284</v>
      </c>
      <c r="B96" s="10">
        <v>1136535</v>
      </c>
      <c r="C96" s="10">
        <v>2790867</v>
      </c>
      <c r="D96" s="10">
        <v>2308664</v>
      </c>
      <c r="E96" s="10">
        <v>5457327</v>
      </c>
      <c r="F96" s="10">
        <v>13583855</v>
      </c>
      <c r="G96" s="10">
        <v>77370010</v>
      </c>
      <c r="H96" s="10">
        <v>5587257</v>
      </c>
      <c r="I96" s="10">
        <v>16212332</v>
      </c>
      <c r="J96" s="10">
        <v>30476724</v>
      </c>
      <c r="K96" s="10">
        <v>101337262</v>
      </c>
      <c r="L96" s="10">
        <v>8332677</v>
      </c>
      <c r="M96" s="10">
        <v>24039471</v>
      </c>
      <c r="N96" s="10">
        <v>10833011</v>
      </c>
      <c r="O96" s="10">
        <v>32725551</v>
      </c>
      <c r="P96" s="10">
        <v>264422</v>
      </c>
      <c r="Q96" s="10">
        <v>1329483</v>
      </c>
      <c r="R96" s="10">
        <v>399128</v>
      </c>
      <c r="S96" s="10">
        <v>914352</v>
      </c>
      <c r="T96" s="10">
        <v>2849797.59</v>
      </c>
      <c r="U96" s="10">
        <v>8101153.7599999998</v>
      </c>
      <c r="V96" s="10">
        <v>9814522</v>
      </c>
      <c r="W96" s="10">
        <v>24057183</v>
      </c>
      <c r="X96" s="10">
        <v>5829227</v>
      </c>
      <c r="Y96" s="10">
        <v>14641872</v>
      </c>
      <c r="Z96" s="10">
        <v>18941713</v>
      </c>
      <c r="AA96" s="10">
        <v>69447266</v>
      </c>
      <c r="AB96" s="10">
        <v>36927705</v>
      </c>
      <c r="AC96" s="10">
        <v>101322791</v>
      </c>
      <c r="AD96" s="10">
        <v>20218912</v>
      </c>
      <c r="AE96" s="10">
        <v>62020830</v>
      </c>
      <c r="AF96" s="10">
        <v>1241614</v>
      </c>
      <c r="AG96" s="10">
        <v>3068829</v>
      </c>
      <c r="AH96" s="10">
        <v>4141920</v>
      </c>
      <c r="AI96" s="10">
        <v>11252282</v>
      </c>
      <c r="AJ96" s="10">
        <v>3306168</v>
      </c>
      <c r="AK96" s="10">
        <v>8853370</v>
      </c>
      <c r="AL96" s="10">
        <v>1624837</v>
      </c>
      <c r="AM96" s="10">
        <v>4153799</v>
      </c>
      <c r="AN96" s="10">
        <v>3018607</v>
      </c>
      <c r="AO96" s="10">
        <v>8335256</v>
      </c>
      <c r="AP96" s="10">
        <v>35586809.865690671</v>
      </c>
      <c r="AQ96" s="10">
        <v>111695296.78390728</v>
      </c>
      <c r="AR96" s="10">
        <v>66598438</v>
      </c>
      <c r="AS96" s="10">
        <v>220401701</v>
      </c>
      <c r="AT96" s="10">
        <v>32931918</v>
      </c>
      <c r="AU96" s="10">
        <v>103125853</v>
      </c>
      <c r="AV96" s="10">
        <v>349987</v>
      </c>
      <c r="AW96" s="10">
        <v>952710</v>
      </c>
      <c r="AX96" s="10">
        <v>15710334</v>
      </c>
      <c r="AY96" s="10">
        <v>60160407</v>
      </c>
      <c r="AZ96" s="10"/>
      <c r="BA96" s="10"/>
      <c r="BB96" s="10">
        <v>5884456</v>
      </c>
      <c r="BC96" s="10">
        <v>17315418</v>
      </c>
      <c r="BD96" s="10">
        <v>9819178</v>
      </c>
      <c r="BE96" s="10">
        <v>27756164</v>
      </c>
      <c r="BF96" s="10">
        <v>17353285</v>
      </c>
      <c r="BG96" s="10">
        <v>48494276</v>
      </c>
      <c r="BH96" s="10">
        <v>6196905</v>
      </c>
      <c r="BI96" s="10">
        <v>17964024</v>
      </c>
      <c r="BJ96" s="10">
        <v>16278701</v>
      </c>
      <c r="BK96" s="10">
        <v>43634576</v>
      </c>
      <c r="BL96" s="10">
        <v>17267700</v>
      </c>
      <c r="BM96" s="10">
        <v>56882469</v>
      </c>
      <c r="BN96" s="10">
        <v>45672188</v>
      </c>
      <c r="BO96" s="10">
        <v>125338245</v>
      </c>
      <c r="BP96" s="10">
        <v>11176679</v>
      </c>
      <c r="BQ96" s="10">
        <v>23093362</v>
      </c>
      <c r="BR96" s="85">
        <f t="shared" ref="BR96:BR100" si="27">SUM(B96+D96+F96+H96+J96+L96+N96+P96+R96+T96+V96+X96+Z96+AB96+AD96+AF96+AH96+AJ96+AL96+AN96+AP96+AR96+AT96+AV96+AX96+AZ96+BB96+BD96+BF96+BH96+BJ96+BL96+BN96+BP96)</f>
        <v>461663874.45569068</v>
      </c>
      <c r="BS96" s="85">
        <f t="shared" ref="BS96:BS100" si="28">SUM(C96+E96+G96+I96+K96+M96+O96+Q96+S96+U96+W96+Y96+AA96+AC96+AE96+AG96+AI96+AK96+AM96+AO96+AQ96+AS96+AU96+AW96+AY96+BA96+BC96+BE96+BG96+BI96+BK96+BM96+BO96+BQ96)</f>
        <v>1434245788.5439072</v>
      </c>
    </row>
    <row r="97" spans="1:71" x14ac:dyDescent="0.25">
      <c r="A97" s="10" t="s">
        <v>287</v>
      </c>
      <c r="B97" s="10"/>
      <c r="C97" s="10"/>
      <c r="D97" s="10"/>
      <c r="E97" s="10"/>
      <c r="F97" s="10"/>
      <c r="G97" s="10">
        <v>-215</v>
      </c>
      <c r="H97" s="10"/>
      <c r="I97" s="10"/>
      <c r="J97" s="10">
        <v>73103</v>
      </c>
      <c r="K97" s="10">
        <v>438411</v>
      </c>
      <c r="L97" s="10">
        <v>51157</v>
      </c>
      <c r="M97" s="10">
        <v>202430</v>
      </c>
      <c r="N97" s="10">
        <v>23956</v>
      </c>
      <c r="O97" s="10">
        <v>95319</v>
      </c>
      <c r="P97" s="10">
        <v>1298</v>
      </c>
      <c r="Q97" s="10">
        <v>4849</v>
      </c>
      <c r="R97" s="10">
        <v>22531</v>
      </c>
      <c r="S97" s="10">
        <v>82513</v>
      </c>
      <c r="T97" s="10"/>
      <c r="U97" s="10"/>
      <c r="V97" s="10">
        <v>165209</v>
      </c>
      <c r="W97" s="10">
        <v>671084</v>
      </c>
      <c r="X97" s="10">
        <v>648839</v>
      </c>
      <c r="Y97" s="10">
        <v>1780906</v>
      </c>
      <c r="Z97" s="10">
        <v>241724</v>
      </c>
      <c r="AA97" s="10">
        <v>1026179</v>
      </c>
      <c r="AB97" s="10">
        <v>766874</v>
      </c>
      <c r="AC97" s="10">
        <v>2285130</v>
      </c>
      <c r="AD97" s="10">
        <v>478722</v>
      </c>
      <c r="AE97" s="10">
        <v>1015007</v>
      </c>
      <c r="AF97" s="10">
        <v>6492</v>
      </c>
      <c r="AG97" s="10">
        <v>24249</v>
      </c>
      <c r="AH97" s="10">
        <v>56466</v>
      </c>
      <c r="AI97" s="10">
        <v>219853</v>
      </c>
      <c r="AJ97" s="10">
        <v>276724</v>
      </c>
      <c r="AK97" s="10">
        <v>631417</v>
      </c>
      <c r="AL97" s="10"/>
      <c r="AM97" s="10"/>
      <c r="AN97" s="10"/>
      <c r="AO97" s="10"/>
      <c r="AP97" s="10">
        <v>380356.629187894</v>
      </c>
      <c r="AQ97" s="10">
        <v>1893973.6168813603</v>
      </c>
      <c r="AR97" s="10">
        <v>3293895</v>
      </c>
      <c r="AS97" s="10">
        <v>10587064</v>
      </c>
      <c r="AT97" s="10">
        <v>1189991</v>
      </c>
      <c r="AU97" s="10">
        <v>2637067</v>
      </c>
      <c r="AV97" s="10">
        <v>73884</v>
      </c>
      <c r="AW97" s="10">
        <v>188259</v>
      </c>
      <c r="AX97" s="10">
        <v>143035</v>
      </c>
      <c r="AY97" s="10">
        <v>439438</v>
      </c>
      <c r="AZ97" s="10"/>
      <c r="BA97" s="10"/>
      <c r="BB97" s="10">
        <v>14476</v>
      </c>
      <c r="BC97" s="10">
        <v>94714</v>
      </c>
      <c r="BD97" s="10">
        <v>112219</v>
      </c>
      <c r="BE97" s="10">
        <v>437757</v>
      </c>
      <c r="BF97" s="10">
        <v>378659</v>
      </c>
      <c r="BG97" s="10">
        <v>416949</v>
      </c>
      <c r="BH97" s="10">
        <v>11248</v>
      </c>
      <c r="BI97" s="10">
        <v>45658</v>
      </c>
      <c r="BJ97" s="10"/>
      <c r="BK97" s="10"/>
      <c r="BL97" s="10">
        <v>360281</v>
      </c>
      <c r="BM97" s="10">
        <v>1300695</v>
      </c>
      <c r="BN97" s="10">
        <v>525043</v>
      </c>
      <c r="BO97" s="10">
        <v>2096621</v>
      </c>
      <c r="BP97" s="10">
        <v>13269</v>
      </c>
      <c r="BQ97" s="10">
        <v>51037</v>
      </c>
      <c r="BR97" s="85">
        <f t="shared" si="27"/>
        <v>9309451.6291878931</v>
      </c>
      <c r="BS97" s="85">
        <f t="shared" si="28"/>
        <v>28666364.616881359</v>
      </c>
    </row>
    <row r="98" spans="1:71" x14ac:dyDescent="0.25">
      <c r="A98" s="10" t="s">
        <v>288</v>
      </c>
      <c r="B98" s="10">
        <v>590659</v>
      </c>
      <c r="C98" s="10">
        <v>1420284</v>
      </c>
      <c r="D98" s="10">
        <v>481671</v>
      </c>
      <c r="E98" s="10">
        <v>1110944</v>
      </c>
      <c r="F98" s="10">
        <v>10529032</v>
      </c>
      <c r="G98" s="10">
        <v>60018772</v>
      </c>
      <c r="H98" s="10">
        <v>1384802</v>
      </c>
      <c r="I98" s="10">
        <v>3761857</v>
      </c>
      <c r="J98" s="10">
        <v>8652151</v>
      </c>
      <c r="K98" s="10">
        <v>40213988</v>
      </c>
      <c r="L98" s="10">
        <v>2752908</v>
      </c>
      <c r="M98" s="10">
        <v>9019785</v>
      </c>
      <c r="N98" s="10">
        <v>2341891</v>
      </c>
      <c r="O98" s="10">
        <v>7400121</v>
      </c>
      <c r="P98" s="10">
        <v>-85926</v>
      </c>
      <c r="Q98" s="10">
        <v>-334112</v>
      </c>
      <c r="R98" s="10">
        <v>48254</v>
      </c>
      <c r="S98" s="10">
        <v>172961</v>
      </c>
      <c r="T98" s="10">
        <v>662475.15</v>
      </c>
      <c r="U98" s="10">
        <v>2236029.06</v>
      </c>
      <c r="V98" s="10">
        <v>4325717</v>
      </c>
      <c r="W98" s="10">
        <v>9544003</v>
      </c>
      <c r="X98" s="10">
        <v>1886712</v>
      </c>
      <c r="Y98" s="10">
        <v>5246770</v>
      </c>
      <c r="Z98" s="10">
        <v>-7827183</v>
      </c>
      <c r="AA98" s="10">
        <v>-36310975</v>
      </c>
      <c r="AB98" s="10">
        <v>11118819</v>
      </c>
      <c r="AC98" s="10">
        <v>31516371</v>
      </c>
      <c r="AD98" s="10">
        <v>9258297</v>
      </c>
      <c r="AE98" s="10">
        <v>27346566</v>
      </c>
      <c r="AF98" s="10">
        <v>154031</v>
      </c>
      <c r="AG98" s="10">
        <v>412713</v>
      </c>
      <c r="AH98" s="10">
        <v>410507</v>
      </c>
      <c r="AI98" s="10">
        <v>1670693</v>
      </c>
      <c r="AJ98" s="10">
        <v>-1308911</v>
      </c>
      <c r="AK98" s="10">
        <v>-3586562</v>
      </c>
      <c r="AL98" s="10">
        <v>82565</v>
      </c>
      <c r="AM98" s="10">
        <v>211426</v>
      </c>
      <c r="AN98" s="10">
        <v>705250</v>
      </c>
      <c r="AO98" s="10">
        <v>1939103</v>
      </c>
      <c r="AP98" s="10">
        <v>14726784.097199403</v>
      </c>
      <c r="AQ98" s="10">
        <v>44123643.537682585</v>
      </c>
      <c r="AR98" s="10">
        <v>10858898</v>
      </c>
      <c r="AS98" s="10">
        <v>49010728</v>
      </c>
      <c r="AT98" s="10">
        <v>7651544</v>
      </c>
      <c r="AU98" s="10">
        <v>26782720</v>
      </c>
      <c r="AV98" s="10">
        <v>93474</v>
      </c>
      <c r="AW98" s="10">
        <v>280921</v>
      </c>
      <c r="AX98" s="10">
        <v>6959517</v>
      </c>
      <c r="AY98" s="10">
        <v>29024277</v>
      </c>
      <c r="AZ98" s="10"/>
      <c r="BA98" s="10"/>
      <c r="BB98" s="10">
        <v>2194330</v>
      </c>
      <c r="BC98" s="10">
        <v>6184873</v>
      </c>
      <c r="BD98" s="10">
        <v>-4433744</v>
      </c>
      <c r="BE98" s="10">
        <v>-10769472</v>
      </c>
      <c r="BF98" s="10">
        <v>7048757</v>
      </c>
      <c r="BG98" s="10">
        <v>23262391</v>
      </c>
      <c r="BH98" s="10">
        <v>453959</v>
      </c>
      <c r="BI98" s="10">
        <v>1220814</v>
      </c>
      <c r="BJ98" s="10">
        <v>3827029</v>
      </c>
      <c r="BK98" s="10">
        <v>10221524</v>
      </c>
      <c r="BL98" s="10">
        <v>5416783</v>
      </c>
      <c r="BM98" s="10">
        <v>23086283</v>
      </c>
      <c r="BN98" s="10">
        <v>10971945</v>
      </c>
      <c r="BO98" s="10">
        <v>29013323</v>
      </c>
      <c r="BP98" s="10">
        <v>6034312</v>
      </c>
      <c r="BQ98" s="10">
        <v>12517165</v>
      </c>
      <c r="BR98" s="85">
        <f t="shared" si="27"/>
        <v>117967309.2471994</v>
      </c>
      <c r="BS98" s="85">
        <f t="shared" si="28"/>
        <v>406969927.5976826</v>
      </c>
    </row>
    <row r="99" spans="1:71" x14ac:dyDescent="0.25">
      <c r="A99" s="10" t="s">
        <v>242</v>
      </c>
      <c r="B99" s="10">
        <v>545876</v>
      </c>
      <c r="C99" s="10">
        <v>1370583</v>
      </c>
      <c r="D99" s="10">
        <v>1826993</v>
      </c>
      <c r="E99" s="10">
        <v>4346383</v>
      </c>
      <c r="F99" s="10">
        <v>3054823</v>
      </c>
      <c r="G99" s="10">
        <v>17351023</v>
      </c>
      <c r="H99" s="10">
        <v>4202455</v>
      </c>
      <c r="I99" s="10">
        <v>12450475</v>
      </c>
      <c r="J99" s="10">
        <v>21897676</v>
      </c>
      <c r="K99" s="10">
        <v>61561685</v>
      </c>
      <c r="L99" s="10">
        <v>5630926</v>
      </c>
      <c r="M99" s="10">
        <f>M96+M97-M98</f>
        <v>15222116</v>
      </c>
      <c r="N99" s="10">
        <v>8515076</v>
      </c>
      <c r="O99" s="10">
        <v>25420749</v>
      </c>
      <c r="P99" s="10">
        <v>179794</v>
      </c>
      <c r="Q99" s="10">
        <v>1000220</v>
      </c>
      <c r="R99" s="10">
        <v>373405</v>
      </c>
      <c r="S99" s="10">
        <v>823904</v>
      </c>
      <c r="T99" s="10">
        <v>2187322.44</v>
      </c>
      <c r="U99" s="10">
        <v>5865124.7000000002</v>
      </c>
      <c r="V99" s="10">
        <v>5654015</v>
      </c>
      <c r="W99" s="10">
        <v>15184264</v>
      </c>
      <c r="X99" s="10">
        <v>4591354</v>
      </c>
      <c r="Y99" s="10">
        <v>11176008</v>
      </c>
      <c r="Z99" s="10">
        <v>11356254</v>
      </c>
      <c r="AA99" s="10">
        <v>34162471</v>
      </c>
      <c r="AB99" s="10">
        <v>26575760</v>
      </c>
      <c r="AC99" s="10">
        <v>72091550</v>
      </c>
      <c r="AD99" s="10">
        <v>11439337</v>
      </c>
      <c r="AE99" s="10">
        <v>35689271</v>
      </c>
      <c r="AF99" s="10">
        <v>1094075</v>
      </c>
      <c r="AG99" s="10">
        <v>2680365</v>
      </c>
      <c r="AH99" s="10">
        <v>3787879</v>
      </c>
      <c r="AI99" s="10">
        <v>9801442</v>
      </c>
      <c r="AJ99" s="10">
        <v>2273981</v>
      </c>
      <c r="AK99" s="10">
        <v>5898225</v>
      </c>
      <c r="AL99" s="10">
        <v>1542272</v>
      </c>
      <c r="AM99" s="10">
        <v>3942373</v>
      </c>
      <c r="AN99" s="10">
        <v>2313357</v>
      </c>
      <c r="AO99" s="10">
        <v>6396153</v>
      </c>
      <c r="AP99" s="10">
        <v>21240382.397679165</v>
      </c>
      <c r="AQ99" s="10">
        <v>69465626.863106042</v>
      </c>
      <c r="AR99" s="10">
        <v>59033435</v>
      </c>
      <c r="AS99" s="10">
        <v>181978036</v>
      </c>
      <c r="AT99" s="10">
        <v>26470365</v>
      </c>
      <c r="AU99" s="10">
        <v>78980200</v>
      </c>
      <c r="AV99" s="10">
        <v>330397</v>
      </c>
      <c r="AW99" s="10">
        <v>860048</v>
      </c>
      <c r="AX99" s="10">
        <v>8893852</v>
      </c>
      <c r="AY99" s="10">
        <v>31575568</v>
      </c>
      <c r="AZ99" s="10"/>
      <c r="BA99" s="10"/>
      <c r="BB99" s="10">
        <v>3970900</v>
      </c>
      <c r="BC99" s="10">
        <v>11424711</v>
      </c>
      <c r="BD99" s="10">
        <v>5497653</v>
      </c>
      <c r="BE99" s="10">
        <v>17424449</v>
      </c>
      <c r="BF99" s="10">
        <v>10683187</v>
      </c>
      <c r="BG99" s="10">
        <v>25648834</v>
      </c>
      <c r="BH99" s="10">
        <v>5754193</v>
      </c>
      <c r="BI99" s="10">
        <v>16788868</v>
      </c>
      <c r="BJ99" s="10">
        <v>12451671</v>
      </c>
      <c r="BK99" s="10">
        <v>33413052</v>
      </c>
      <c r="BL99" s="10">
        <v>12211198</v>
      </c>
      <c r="BM99" s="10">
        <v>35096881</v>
      </c>
      <c r="BN99" s="10">
        <v>35225286</v>
      </c>
      <c r="BO99" s="10">
        <v>98421543</v>
      </c>
      <c r="BP99" s="10">
        <v>5155636</v>
      </c>
      <c r="BQ99" s="10">
        <v>10627234</v>
      </c>
      <c r="BR99" s="85">
        <f t="shared" si="27"/>
        <v>325960785.83767915</v>
      </c>
      <c r="BS99" s="85">
        <f t="shared" si="28"/>
        <v>954139435.56310606</v>
      </c>
    </row>
    <row r="100" spans="1:71" x14ac:dyDescent="0.25">
      <c r="A100" s="10" t="s">
        <v>243</v>
      </c>
      <c r="B100" s="10">
        <v>456202</v>
      </c>
      <c r="C100" s="10">
        <v>1230601</v>
      </c>
      <c r="D100" s="10">
        <v>1586484</v>
      </c>
      <c r="E100" s="10">
        <v>3699650</v>
      </c>
      <c r="F100" s="10">
        <v>1564332</v>
      </c>
      <c r="G100" s="10">
        <v>14953975</v>
      </c>
      <c r="H100" s="10">
        <v>4696376</v>
      </c>
      <c r="I100" s="10">
        <v>11961368</v>
      </c>
      <c r="J100" s="10">
        <v>21563069</v>
      </c>
      <c r="K100" s="10">
        <v>62339191</v>
      </c>
      <c r="L100" s="10">
        <v>5167874</v>
      </c>
      <c r="M100" s="10">
        <f>M99-9387405+7512392</f>
        <v>13347103</v>
      </c>
      <c r="N100" s="10">
        <v>8792701</v>
      </c>
      <c r="O100" s="10">
        <v>25705514</v>
      </c>
      <c r="P100" s="10">
        <v>119588</v>
      </c>
      <c r="Q100" s="10">
        <v>1021956</v>
      </c>
      <c r="R100" s="10">
        <v>240203</v>
      </c>
      <c r="S100" s="10">
        <v>646116</v>
      </c>
      <c r="T100" s="10">
        <v>2269571.2599999998</v>
      </c>
      <c r="U100" s="10">
        <v>5957559.0499999998</v>
      </c>
      <c r="V100" s="10">
        <v>5396541</v>
      </c>
      <c r="W100" s="10">
        <v>14256689</v>
      </c>
      <c r="X100" s="10">
        <v>3601344</v>
      </c>
      <c r="Y100" s="10">
        <v>8676610</v>
      </c>
      <c r="Z100" s="10">
        <v>11391958</v>
      </c>
      <c r="AA100" s="10">
        <v>33068550</v>
      </c>
      <c r="AB100" s="10">
        <v>24561678</v>
      </c>
      <c r="AC100" s="10">
        <v>70579739</v>
      </c>
      <c r="AD100" s="10">
        <v>13105412</v>
      </c>
      <c r="AE100" s="10">
        <v>34772766</v>
      </c>
      <c r="AF100" s="10">
        <v>758090</v>
      </c>
      <c r="AG100" s="10">
        <v>2091429</v>
      </c>
      <c r="AH100" s="10">
        <v>3021846</v>
      </c>
      <c r="AI100" s="10">
        <v>8454083</v>
      </c>
      <c r="AJ100" s="10">
        <v>1808690</v>
      </c>
      <c r="AK100" s="10">
        <v>5144441</v>
      </c>
      <c r="AL100" s="10">
        <v>1292985</v>
      </c>
      <c r="AM100" s="10">
        <v>3654939</v>
      </c>
      <c r="AN100" s="10">
        <v>2190363</v>
      </c>
      <c r="AO100" s="10">
        <v>5375927</v>
      </c>
      <c r="AP100" s="10">
        <v>21011805.292104166</v>
      </c>
      <c r="AQ100" s="10">
        <v>70529688.618091047</v>
      </c>
      <c r="AR100" s="10">
        <v>61440528</v>
      </c>
      <c r="AS100" s="10">
        <v>174073080</v>
      </c>
      <c r="AT100" s="10">
        <v>26881153</v>
      </c>
      <c r="AU100" s="10">
        <v>78950082</v>
      </c>
      <c r="AV100" s="10">
        <v>292222</v>
      </c>
      <c r="AW100" s="10">
        <v>820183</v>
      </c>
      <c r="AX100" s="10">
        <v>10557315</v>
      </c>
      <c r="AY100" s="10">
        <v>29736218</v>
      </c>
      <c r="AZ100" s="10"/>
      <c r="BA100" s="10"/>
      <c r="BB100" s="10">
        <v>3816117</v>
      </c>
      <c r="BC100" s="10">
        <v>10611070</v>
      </c>
      <c r="BD100" s="10">
        <v>5915512</v>
      </c>
      <c r="BE100" s="10">
        <v>16887402</v>
      </c>
      <c r="BF100" s="10">
        <v>9649379</v>
      </c>
      <c r="BG100" s="10">
        <v>23147097</v>
      </c>
      <c r="BH100" s="10">
        <v>5790900</v>
      </c>
      <c r="BI100" s="10">
        <v>16902558</v>
      </c>
      <c r="BJ100" s="10">
        <v>10856209</v>
      </c>
      <c r="BK100" s="10">
        <v>29351207</v>
      </c>
      <c r="BL100" s="10">
        <v>12100637</v>
      </c>
      <c r="BM100" s="10">
        <v>36905235</v>
      </c>
      <c r="BN100" s="10">
        <v>34523297</v>
      </c>
      <c r="BO100" s="10">
        <v>96586633</v>
      </c>
      <c r="BP100" s="10">
        <v>4502757</v>
      </c>
      <c r="BQ100" s="10">
        <v>9845578</v>
      </c>
      <c r="BR100" s="85">
        <f t="shared" si="27"/>
        <v>320923138.55210412</v>
      </c>
      <c r="BS100" s="85">
        <f t="shared" si="28"/>
        <v>921284237.66809106</v>
      </c>
    </row>
  </sheetData>
  <mergeCells count="385">
    <mergeCell ref="BD76:BE76"/>
    <mergeCell ref="BF76:BG76"/>
    <mergeCell ref="BH76:BI76"/>
    <mergeCell ref="BJ76:BK76"/>
    <mergeCell ref="BL76:BM76"/>
    <mergeCell ref="BN76:BO76"/>
    <mergeCell ref="BP76:BQ76"/>
    <mergeCell ref="BR76:BS76"/>
    <mergeCell ref="AL76:AM76"/>
    <mergeCell ref="AN76:AO76"/>
    <mergeCell ref="AP76:AQ76"/>
    <mergeCell ref="AR76:AS76"/>
    <mergeCell ref="AT76:AU76"/>
    <mergeCell ref="AV76:AW76"/>
    <mergeCell ref="AX76:AY76"/>
    <mergeCell ref="AZ76:BA76"/>
    <mergeCell ref="BB76:BC76"/>
    <mergeCell ref="T76:U76"/>
    <mergeCell ref="V76:W76"/>
    <mergeCell ref="X76:Y76"/>
    <mergeCell ref="Z76:AA76"/>
    <mergeCell ref="AB76:AC76"/>
    <mergeCell ref="AD76:AE76"/>
    <mergeCell ref="AF76:AG76"/>
    <mergeCell ref="AH76:AI76"/>
    <mergeCell ref="AJ76:AK76"/>
    <mergeCell ref="B76:C76"/>
    <mergeCell ref="D76:E76"/>
    <mergeCell ref="F76:G76"/>
    <mergeCell ref="H76:I76"/>
    <mergeCell ref="J76:K76"/>
    <mergeCell ref="L76:M76"/>
    <mergeCell ref="N76:O76"/>
    <mergeCell ref="P76:Q76"/>
    <mergeCell ref="R76:S76"/>
    <mergeCell ref="BR94:BS94"/>
    <mergeCell ref="AV94:AW94"/>
    <mergeCell ref="AX94:AY94"/>
    <mergeCell ref="AZ94:BA94"/>
    <mergeCell ref="BB94:BC94"/>
    <mergeCell ref="BD94:BE94"/>
    <mergeCell ref="BF94:BG94"/>
    <mergeCell ref="AB94:AC94"/>
    <mergeCell ref="AD94:AE94"/>
    <mergeCell ref="AF94:AG94"/>
    <mergeCell ref="AH94:AI94"/>
    <mergeCell ref="BH94:BI94"/>
    <mergeCell ref="BJ94:BK94"/>
    <mergeCell ref="BL94:BM94"/>
    <mergeCell ref="BN94:BO94"/>
    <mergeCell ref="BP94:BQ94"/>
    <mergeCell ref="L94:M94"/>
    <mergeCell ref="N94:O94"/>
    <mergeCell ref="P94:Q94"/>
    <mergeCell ref="R94:S94"/>
    <mergeCell ref="T94:U94"/>
    <mergeCell ref="V94:W94"/>
    <mergeCell ref="BJ85:BK85"/>
    <mergeCell ref="BL85:BM85"/>
    <mergeCell ref="BN85:BO85"/>
    <mergeCell ref="AJ85:AK85"/>
    <mergeCell ref="N85:O85"/>
    <mergeCell ref="P85:Q85"/>
    <mergeCell ref="R85:S85"/>
    <mergeCell ref="T85:U85"/>
    <mergeCell ref="V85:W85"/>
    <mergeCell ref="X85:Y85"/>
    <mergeCell ref="AJ94:AK94"/>
    <mergeCell ref="AL94:AM94"/>
    <mergeCell ref="AN94:AO94"/>
    <mergeCell ref="AP94:AQ94"/>
    <mergeCell ref="AR94:AS94"/>
    <mergeCell ref="AT94:AU94"/>
    <mergeCell ref="X94:Y94"/>
    <mergeCell ref="Z94:AA94"/>
    <mergeCell ref="BP85:BQ85"/>
    <mergeCell ref="BR85:BS85"/>
    <mergeCell ref="B94:C94"/>
    <mergeCell ref="D94:E94"/>
    <mergeCell ref="F94:G94"/>
    <mergeCell ref="H94:I94"/>
    <mergeCell ref="J94:K94"/>
    <mergeCell ref="AX85:AY85"/>
    <mergeCell ref="AZ85:BA85"/>
    <mergeCell ref="BB85:BC85"/>
    <mergeCell ref="BD85:BE85"/>
    <mergeCell ref="BF85:BG85"/>
    <mergeCell ref="BH85:BI85"/>
    <mergeCell ref="AL85:AM85"/>
    <mergeCell ref="AN85:AO85"/>
    <mergeCell ref="AP85:AQ85"/>
    <mergeCell ref="AR85:AS85"/>
    <mergeCell ref="AT85:AU85"/>
    <mergeCell ref="AV85:AW85"/>
    <mergeCell ref="Z85:AA85"/>
    <mergeCell ref="AB85:AC85"/>
    <mergeCell ref="AD85:AE85"/>
    <mergeCell ref="AF85:AG85"/>
    <mergeCell ref="AH85:AI85"/>
    <mergeCell ref="B85:C85"/>
    <mergeCell ref="D85:E85"/>
    <mergeCell ref="F85:G85"/>
    <mergeCell ref="H85:I85"/>
    <mergeCell ref="J85:K85"/>
    <mergeCell ref="L85:M85"/>
    <mergeCell ref="BH67:BI67"/>
    <mergeCell ref="BJ67:BK67"/>
    <mergeCell ref="BL67:BM67"/>
    <mergeCell ref="AJ67:AK67"/>
    <mergeCell ref="AL67:AM67"/>
    <mergeCell ref="AN67:AO67"/>
    <mergeCell ref="AP67:AQ67"/>
    <mergeCell ref="AR67:AS67"/>
    <mergeCell ref="AT67:AU67"/>
    <mergeCell ref="X67:Y67"/>
    <mergeCell ref="Z67:AA67"/>
    <mergeCell ref="AB67:AC67"/>
    <mergeCell ref="AD67:AE67"/>
    <mergeCell ref="AF67:AG67"/>
    <mergeCell ref="AH67:AI67"/>
    <mergeCell ref="L67:M67"/>
    <mergeCell ref="N67:O67"/>
    <mergeCell ref="P67:Q67"/>
    <mergeCell ref="BN67:BO67"/>
    <mergeCell ref="BP67:BQ67"/>
    <mergeCell ref="BR67:BS67"/>
    <mergeCell ref="AV67:AW67"/>
    <mergeCell ref="AX67:AY67"/>
    <mergeCell ref="AZ67:BA67"/>
    <mergeCell ref="BB67:BC67"/>
    <mergeCell ref="BD67:BE67"/>
    <mergeCell ref="BF67:BG67"/>
    <mergeCell ref="R67:S67"/>
    <mergeCell ref="T67:U67"/>
    <mergeCell ref="V67:W67"/>
    <mergeCell ref="BJ58:BK58"/>
    <mergeCell ref="BL58:BM58"/>
    <mergeCell ref="BN58:BO58"/>
    <mergeCell ref="BP58:BQ58"/>
    <mergeCell ref="BR58:BS58"/>
    <mergeCell ref="B67:C67"/>
    <mergeCell ref="D67:E67"/>
    <mergeCell ref="F67:G67"/>
    <mergeCell ref="H67:I67"/>
    <mergeCell ref="J67:K67"/>
    <mergeCell ref="AX58:AY58"/>
    <mergeCell ref="AZ58:BA58"/>
    <mergeCell ref="BB58:BC58"/>
    <mergeCell ref="BD58:BE58"/>
    <mergeCell ref="BF58:BG58"/>
    <mergeCell ref="BH58:BI58"/>
    <mergeCell ref="AL58:AM58"/>
    <mergeCell ref="AN58:AO58"/>
    <mergeCell ref="AP58:AQ58"/>
    <mergeCell ref="AR58:AS58"/>
    <mergeCell ref="AT58:AU58"/>
    <mergeCell ref="AV58:AW58"/>
    <mergeCell ref="Z58:AA58"/>
    <mergeCell ref="AB58:AC58"/>
    <mergeCell ref="AD58:AE58"/>
    <mergeCell ref="AF58:AG58"/>
    <mergeCell ref="AH58:AI58"/>
    <mergeCell ref="AJ58:AK58"/>
    <mergeCell ref="N58:O58"/>
    <mergeCell ref="P58:Q58"/>
    <mergeCell ref="R58:S58"/>
    <mergeCell ref="T58:U58"/>
    <mergeCell ref="V58:W58"/>
    <mergeCell ref="X58:Y58"/>
    <mergeCell ref="B58:C58"/>
    <mergeCell ref="D58:E58"/>
    <mergeCell ref="F58:G58"/>
    <mergeCell ref="H58:I58"/>
    <mergeCell ref="J58:K58"/>
    <mergeCell ref="L58:M58"/>
    <mergeCell ref="BH49:BI49"/>
    <mergeCell ref="BJ49:BK49"/>
    <mergeCell ref="BL49:BM49"/>
    <mergeCell ref="AJ49:AK49"/>
    <mergeCell ref="AL49:AM49"/>
    <mergeCell ref="AN49:AO49"/>
    <mergeCell ref="AP49:AQ49"/>
    <mergeCell ref="AR49:AS49"/>
    <mergeCell ref="AT49:AU49"/>
    <mergeCell ref="X49:Y49"/>
    <mergeCell ref="Z49:AA49"/>
    <mergeCell ref="AB49:AC49"/>
    <mergeCell ref="AD49:AE49"/>
    <mergeCell ref="AF49:AG49"/>
    <mergeCell ref="AH49:AI49"/>
    <mergeCell ref="L49:M49"/>
    <mergeCell ref="N49:O49"/>
    <mergeCell ref="P49:Q49"/>
    <mergeCell ref="BN49:BO49"/>
    <mergeCell ref="BP49:BQ49"/>
    <mergeCell ref="BR49:BS49"/>
    <mergeCell ref="AV49:AW49"/>
    <mergeCell ref="AX49:AY49"/>
    <mergeCell ref="AZ49:BA49"/>
    <mergeCell ref="BB49:BC49"/>
    <mergeCell ref="BD49:BE49"/>
    <mergeCell ref="BF49:BG49"/>
    <mergeCell ref="R49:S49"/>
    <mergeCell ref="T49:U49"/>
    <mergeCell ref="V49:W49"/>
    <mergeCell ref="BJ40:BK40"/>
    <mergeCell ref="BL40:BM40"/>
    <mergeCell ref="BN40:BO40"/>
    <mergeCell ref="BP40:BQ40"/>
    <mergeCell ref="BR40:BS40"/>
    <mergeCell ref="B49:C49"/>
    <mergeCell ref="D49:E49"/>
    <mergeCell ref="F49:G49"/>
    <mergeCell ref="H49:I49"/>
    <mergeCell ref="J49:K49"/>
    <mergeCell ref="AX40:AY40"/>
    <mergeCell ref="AZ40:BA40"/>
    <mergeCell ref="BB40:BC40"/>
    <mergeCell ref="BD40:BE40"/>
    <mergeCell ref="BF40:BG40"/>
    <mergeCell ref="BH40:BI40"/>
    <mergeCell ref="AL40:AM40"/>
    <mergeCell ref="AN40:AO40"/>
    <mergeCell ref="AP40:AQ40"/>
    <mergeCell ref="AR40:AS40"/>
    <mergeCell ref="AT40:AU40"/>
    <mergeCell ref="AV40:AW40"/>
    <mergeCell ref="Z40:AA40"/>
    <mergeCell ref="AB40:AC40"/>
    <mergeCell ref="AD40:AE40"/>
    <mergeCell ref="AF40:AG40"/>
    <mergeCell ref="AH40:AI40"/>
    <mergeCell ref="AJ40:AK40"/>
    <mergeCell ref="N40:O40"/>
    <mergeCell ref="P40:Q40"/>
    <mergeCell ref="R40:S40"/>
    <mergeCell ref="T40:U40"/>
    <mergeCell ref="V40:W40"/>
    <mergeCell ref="X40:Y40"/>
    <mergeCell ref="B40:C40"/>
    <mergeCell ref="D40:E40"/>
    <mergeCell ref="F40:G40"/>
    <mergeCell ref="H40:I40"/>
    <mergeCell ref="J40:K40"/>
    <mergeCell ref="L40:M40"/>
    <mergeCell ref="BH31:BI31"/>
    <mergeCell ref="BJ31:BK31"/>
    <mergeCell ref="BL31:BM31"/>
    <mergeCell ref="AJ31:AK31"/>
    <mergeCell ref="AL31:AM31"/>
    <mergeCell ref="AN31:AO31"/>
    <mergeCell ref="AP31:AQ31"/>
    <mergeCell ref="AR31:AS31"/>
    <mergeCell ref="AT31:AU31"/>
    <mergeCell ref="X31:Y31"/>
    <mergeCell ref="Z31:AA31"/>
    <mergeCell ref="AB31:AC31"/>
    <mergeCell ref="AD31:AE31"/>
    <mergeCell ref="AF31:AG31"/>
    <mergeCell ref="AH31:AI31"/>
    <mergeCell ref="L31:M31"/>
    <mergeCell ref="N31:O31"/>
    <mergeCell ref="P31:Q31"/>
    <mergeCell ref="BN31:BO31"/>
    <mergeCell ref="BP31:BQ31"/>
    <mergeCell ref="BR31:BS31"/>
    <mergeCell ref="AV31:AW31"/>
    <mergeCell ref="AX31:AY31"/>
    <mergeCell ref="AZ31:BA31"/>
    <mergeCell ref="BB31:BC31"/>
    <mergeCell ref="BD31:BE31"/>
    <mergeCell ref="BF31:BG31"/>
    <mergeCell ref="R31:S31"/>
    <mergeCell ref="T31:U31"/>
    <mergeCell ref="V31:W31"/>
    <mergeCell ref="BJ22:BK22"/>
    <mergeCell ref="BL22:BM22"/>
    <mergeCell ref="BN22:BO22"/>
    <mergeCell ref="BP22:BQ22"/>
    <mergeCell ref="BR22:BS22"/>
    <mergeCell ref="B31:C31"/>
    <mergeCell ref="D31:E31"/>
    <mergeCell ref="F31:G31"/>
    <mergeCell ref="H31:I31"/>
    <mergeCell ref="J31:K31"/>
    <mergeCell ref="AX22:AY22"/>
    <mergeCell ref="AZ22:BA22"/>
    <mergeCell ref="BB22:BC22"/>
    <mergeCell ref="BD22:BE22"/>
    <mergeCell ref="BF22:BG22"/>
    <mergeCell ref="BH22:BI22"/>
    <mergeCell ref="AL22:AM22"/>
    <mergeCell ref="AN22:AO22"/>
    <mergeCell ref="AP22:AQ22"/>
    <mergeCell ref="AR22:AS22"/>
    <mergeCell ref="AT22:AU22"/>
    <mergeCell ref="AV22:AW22"/>
    <mergeCell ref="Z22:AA22"/>
    <mergeCell ref="AB22:AC22"/>
    <mergeCell ref="AD22:AE22"/>
    <mergeCell ref="AF22:AG22"/>
    <mergeCell ref="AH22:AI22"/>
    <mergeCell ref="AJ22:AK22"/>
    <mergeCell ref="N22:O22"/>
    <mergeCell ref="P22:Q22"/>
    <mergeCell ref="R22:S22"/>
    <mergeCell ref="T22:U22"/>
    <mergeCell ref="V22:W22"/>
    <mergeCell ref="X22:Y22"/>
    <mergeCell ref="B22:C22"/>
    <mergeCell ref="D22:E22"/>
    <mergeCell ref="F22:G22"/>
    <mergeCell ref="H22:I22"/>
    <mergeCell ref="J22:K22"/>
    <mergeCell ref="L22:M22"/>
    <mergeCell ref="BH13:BI13"/>
    <mergeCell ref="BJ13:BK13"/>
    <mergeCell ref="BL13:BM13"/>
    <mergeCell ref="AJ13:AK13"/>
    <mergeCell ref="AL13:AM13"/>
    <mergeCell ref="AN13:AO13"/>
    <mergeCell ref="AP13:AQ13"/>
    <mergeCell ref="AR13:AS13"/>
    <mergeCell ref="AT13:AU13"/>
    <mergeCell ref="X13:Y13"/>
    <mergeCell ref="Z13:AA13"/>
    <mergeCell ref="AB13:AC13"/>
    <mergeCell ref="AD13:AE13"/>
    <mergeCell ref="AF13:AG13"/>
    <mergeCell ref="AH13:AI13"/>
    <mergeCell ref="L13:M13"/>
    <mergeCell ref="N13:O13"/>
    <mergeCell ref="P13:Q13"/>
    <mergeCell ref="BN13:BO13"/>
    <mergeCell ref="BP13:BQ13"/>
    <mergeCell ref="BR13:BS13"/>
    <mergeCell ref="AV13:AW13"/>
    <mergeCell ref="AX13:AY13"/>
    <mergeCell ref="AZ13:BA13"/>
    <mergeCell ref="BB13:BC13"/>
    <mergeCell ref="BD13:BE13"/>
    <mergeCell ref="BF13:BG13"/>
    <mergeCell ref="R13:S13"/>
    <mergeCell ref="T13:U13"/>
    <mergeCell ref="V13:W13"/>
    <mergeCell ref="BJ4:BK4"/>
    <mergeCell ref="BL4:BM4"/>
    <mergeCell ref="BN4:BO4"/>
    <mergeCell ref="BP4:BQ4"/>
    <mergeCell ref="BR4:BS4"/>
    <mergeCell ref="B13:C13"/>
    <mergeCell ref="D13:E13"/>
    <mergeCell ref="F13:G13"/>
    <mergeCell ref="H13:I13"/>
    <mergeCell ref="J13:K13"/>
    <mergeCell ref="AX4:AY4"/>
    <mergeCell ref="AZ4:BA4"/>
    <mergeCell ref="BB4:BC4"/>
    <mergeCell ref="BD4:BE4"/>
    <mergeCell ref="BF4:BG4"/>
    <mergeCell ref="BH4:BI4"/>
    <mergeCell ref="AL4:AM4"/>
    <mergeCell ref="AN4:AO4"/>
    <mergeCell ref="AP4:AQ4"/>
    <mergeCell ref="AR4:AS4"/>
    <mergeCell ref="AT4:AU4"/>
    <mergeCell ref="B4:C4"/>
    <mergeCell ref="D4:E4"/>
    <mergeCell ref="F4:G4"/>
    <mergeCell ref="H4:I4"/>
    <mergeCell ref="J4:K4"/>
    <mergeCell ref="L4:M4"/>
    <mergeCell ref="AV4:AW4"/>
    <mergeCell ref="Z4:AA4"/>
    <mergeCell ref="AB4:AC4"/>
    <mergeCell ref="AD4:AE4"/>
    <mergeCell ref="AF4:AG4"/>
    <mergeCell ref="AH4:AI4"/>
    <mergeCell ref="AJ4:AK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2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:C4"/>
    </sheetView>
  </sheetViews>
  <sheetFormatPr defaultRowHeight="15" x14ac:dyDescent="0.25"/>
  <cols>
    <col min="1" max="1" width="45.140625" style="7" customWidth="1"/>
    <col min="2" max="71" width="16" style="7" customWidth="1"/>
    <col min="72" max="16384" width="9.140625" style="7"/>
  </cols>
  <sheetData>
    <row r="1" spans="1:71" ht="18.75" x14ac:dyDescent="0.3">
      <c r="A1" s="5" t="s">
        <v>240</v>
      </c>
    </row>
    <row r="2" spans="1:71" x14ac:dyDescent="0.25">
      <c r="A2" s="18" t="s">
        <v>47</v>
      </c>
    </row>
    <row r="3" spans="1:71" x14ac:dyDescent="0.25">
      <c r="A3" s="33" t="s">
        <v>229</v>
      </c>
    </row>
    <row r="4" spans="1:71" x14ac:dyDescent="0.25">
      <c r="A4" s="3" t="s">
        <v>0</v>
      </c>
      <c r="B4" s="107" t="s">
        <v>1</v>
      </c>
      <c r="C4" s="108"/>
      <c r="D4" s="107" t="s">
        <v>2</v>
      </c>
      <c r="E4" s="108"/>
      <c r="F4" s="107" t="s">
        <v>3</v>
      </c>
      <c r="G4" s="108"/>
      <c r="H4" s="107" t="s">
        <v>307</v>
      </c>
      <c r="I4" s="108"/>
      <c r="J4" s="107" t="s">
        <v>5</v>
      </c>
      <c r="K4" s="108"/>
      <c r="L4" s="107" t="s">
        <v>6</v>
      </c>
      <c r="M4" s="108"/>
      <c r="N4" s="107" t="s">
        <v>7</v>
      </c>
      <c r="O4" s="108"/>
      <c r="P4" s="107" t="s">
        <v>8</v>
      </c>
      <c r="Q4" s="108"/>
      <c r="R4" s="107" t="s">
        <v>9</v>
      </c>
      <c r="S4" s="108"/>
      <c r="T4" s="107" t="s">
        <v>10</v>
      </c>
      <c r="U4" s="108"/>
      <c r="V4" s="107" t="s">
        <v>11</v>
      </c>
      <c r="W4" s="108"/>
      <c r="X4" s="107" t="s">
        <v>12</v>
      </c>
      <c r="Y4" s="108"/>
      <c r="Z4" s="107" t="s">
        <v>13</v>
      </c>
      <c r="AA4" s="108"/>
      <c r="AB4" s="107" t="s">
        <v>14</v>
      </c>
      <c r="AC4" s="108"/>
      <c r="AD4" s="107" t="s">
        <v>15</v>
      </c>
      <c r="AE4" s="108"/>
      <c r="AF4" s="107" t="s">
        <v>16</v>
      </c>
      <c r="AG4" s="108"/>
      <c r="AH4" s="107" t="s">
        <v>17</v>
      </c>
      <c r="AI4" s="108"/>
      <c r="AJ4" s="107" t="s">
        <v>18</v>
      </c>
      <c r="AK4" s="108"/>
      <c r="AL4" s="107" t="s">
        <v>296</v>
      </c>
      <c r="AM4" s="108"/>
      <c r="AN4" s="107" t="s">
        <v>19</v>
      </c>
      <c r="AO4" s="108"/>
      <c r="AP4" s="107" t="s">
        <v>20</v>
      </c>
      <c r="AQ4" s="108"/>
      <c r="AR4" s="107" t="s">
        <v>21</v>
      </c>
      <c r="AS4" s="108"/>
      <c r="AT4" s="107" t="s">
        <v>22</v>
      </c>
      <c r="AU4" s="108"/>
      <c r="AV4" s="107" t="s">
        <v>23</v>
      </c>
      <c r="AW4" s="108"/>
      <c r="AX4" s="107" t="s">
        <v>24</v>
      </c>
      <c r="AY4" s="108"/>
      <c r="AZ4" s="107" t="s">
        <v>25</v>
      </c>
      <c r="BA4" s="108"/>
      <c r="BB4" s="107" t="s">
        <v>26</v>
      </c>
      <c r="BC4" s="108"/>
      <c r="BD4" s="107" t="s">
        <v>27</v>
      </c>
      <c r="BE4" s="108"/>
      <c r="BF4" s="107" t="s">
        <v>28</v>
      </c>
      <c r="BG4" s="108"/>
      <c r="BH4" s="107" t="s">
        <v>29</v>
      </c>
      <c r="BI4" s="108"/>
      <c r="BJ4" s="107" t="s">
        <v>30</v>
      </c>
      <c r="BK4" s="108"/>
      <c r="BL4" s="107" t="s">
        <v>31</v>
      </c>
      <c r="BM4" s="108"/>
      <c r="BN4" s="111" t="s">
        <v>32</v>
      </c>
      <c r="BO4" s="112"/>
      <c r="BP4" s="107" t="s">
        <v>33</v>
      </c>
      <c r="BQ4" s="108"/>
      <c r="BR4" s="109" t="s">
        <v>34</v>
      </c>
      <c r="BS4" s="110"/>
    </row>
    <row r="5" spans="1:71" ht="30" x14ac:dyDescent="0.25">
      <c r="A5" s="3"/>
      <c r="B5" s="66" t="s">
        <v>294</v>
      </c>
      <c r="C5" s="67" t="s">
        <v>295</v>
      </c>
      <c r="D5" s="66" t="s">
        <v>294</v>
      </c>
      <c r="E5" s="67" t="s">
        <v>295</v>
      </c>
      <c r="F5" s="66" t="s">
        <v>294</v>
      </c>
      <c r="G5" s="67" t="s">
        <v>295</v>
      </c>
      <c r="H5" s="66" t="s">
        <v>294</v>
      </c>
      <c r="I5" s="67" t="s">
        <v>295</v>
      </c>
      <c r="J5" s="66" t="s">
        <v>294</v>
      </c>
      <c r="K5" s="67" t="s">
        <v>295</v>
      </c>
      <c r="L5" s="66" t="s">
        <v>294</v>
      </c>
      <c r="M5" s="67" t="s">
        <v>295</v>
      </c>
      <c r="N5" s="66" t="s">
        <v>294</v>
      </c>
      <c r="O5" s="67" t="s">
        <v>295</v>
      </c>
      <c r="P5" s="66" t="s">
        <v>294</v>
      </c>
      <c r="Q5" s="67" t="s">
        <v>295</v>
      </c>
      <c r="R5" s="66" t="s">
        <v>294</v>
      </c>
      <c r="S5" s="67" t="s">
        <v>295</v>
      </c>
      <c r="T5" s="66" t="s">
        <v>294</v>
      </c>
      <c r="U5" s="67" t="s">
        <v>295</v>
      </c>
      <c r="V5" s="66" t="s">
        <v>294</v>
      </c>
      <c r="W5" s="67" t="s">
        <v>295</v>
      </c>
      <c r="X5" s="66" t="s">
        <v>294</v>
      </c>
      <c r="Y5" s="67" t="s">
        <v>295</v>
      </c>
      <c r="Z5" s="66" t="s">
        <v>294</v>
      </c>
      <c r="AA5" s="67" t="s">
        <v>295</v>
      </c>
      <c r="AB5" s="66" t="s">
        <v>294</v>
      </c>
      <c r="AC5" s="67" t="s">
        <v>295</v>
      </c>
      <c r="AD5" s="66" t="s">
        <v>294</v>
      </c>
      <c r="AE5" s="67" t="s">
        <v>295</v>
      </c>
      <c r="AF5" s="66" t="s">
        <v>294</v>
      </c>
      <c r="AG5" s="67" t="s">
        <v>295</v>
      </c>
      <c r="AH5" s="66" t="s">
        <v>294</v>
      </c>
      <c r="AI5" s="67" t="s">
        <v>295</v>
      </c>
      <c r="AJ5" s="66" t="s">
        <v>294</v>
      </c>
      <c r="AK5" s="67" t="s">
        <v>295</v>
      </c>
      <c r="AL5" s="66" t="s">
        <v>294</v>
      </c>
      <c r="AM5" s="67" t="s">
        <v>295</v>
      </c>
      <c r="AN5" s="66" t="s">
        <v>294</v>
      </c>
      <c r="AO5" s="67" t="s">
        <v>295</v>
      </c>
      <c r="AP5" s="66" t="s">
        <v>294</v>
      </c>
      <c r="AQ5" s="67" t="s">
        <v>295</v>
      </c>
      <c r="AR5" s="66" t="s">
        <v>294</v>
      </c>
      <c r="AS5" s="67" t="s">
        <v>295</v>
      </c>
      <c r="AT5" s="66" t="s">
        <v>294</v>
      </c>
      <c r="AU5" s="67" t="s">
        <v>295</v>
      </c>
      <c r="AV5" s="66" t="s">
        <v>294</v>
      </c>
      <c r="AW5" s="67" t="s">
        <v>295</v>
      </c>
      <c r="AX5" s="66" t="s">
        <v>294</v>
      </c>
      <c r="AY5" s="67" t="s">
        <v>295</v>
      </c>
      <c r="AZ5" s="66" t="s">
        <v>294</v>
      </c>
      <c r="BA5" s="67" t="s">
        <v>295</v>
      </c>
      <c r="BB5" s="66" t="s">
        <v>294</v>
      </c>
      <c r="BC5" s="67" t="s">
        <v>295</v>
      </c>
      <c r="BD5" s="66" t="s">
        <v>294</v>
      </c>
      <c r="BE5" s="67" t="s">
        <v>295</v>
      </c>
      <c r="BF5" s="66" t="s">
        <v>294</v>
      </c>
      <c r="BG5" s="67" t="s">
        <v>295</v>
      </c>
      <c r="BH5" s="66" t="s">
        <v>294</v>
      </c>
      <c r="BI5" s="67" t="s">
        <v>295</v>
      </c>
      <c r="BJ5" s="66" t="s">
        <v>294</v>
      </c>
      <c r="BK5" s="67" t="s">
        <v>295</v>
      </c>
      <c r="BL5" s="66" t="s">
        <v>294</v>
      </c>
      <c r="BM5" s="67" t="s">
        <v>295</v>
      </c>
      <c r="BN5" s="66" t="s">
        <v>294</v>
      </c>
      <c r="BO5" s="67" t="s">
        <v>295</v>
      </c>
      <c r="BP5" s="66" t="s">
        <v>294</v>
      </c>
      <c r="BQ5" s="67" t="s">
        <v>295</v>
      </c>
      <c r="BR5" s="66" t="s">
        <v>294</v>
      </c>
      <c r="BS5" s="67" t="s">
        <v>295</v>
      </c>
    </row>
    <row r="6" spans="1:71" x14ac:dyDescent="0.25">
      <c r="A6" s="26" t="s">
        <v>241</v>
      </c>
      <c r="B6" s="10"/>
      <c r="C6" s="10"/>
      <c r="D6" s="10"/>
      <c r="E6" s="10"/>
      <c r="F6" s="10"/>
      <c r="G6" s="10"/>
      <c r="H6" s="10"/>
      <c r="I6" s="10"/>
      <c r="J6" s="10">
        <v>910160</v>
      </c>
      <c r="K6" s="10">
        <v>2571373</v>
      </c>
      <c r="L6" s="10">
        <v>70363</v>
      </c>
      <c r="M6" s="10">
        <v>212508</v>
      </c>
      <c r="N6" s="10">
        <v>114106</v>
      </c>
      <c r="O6" s="10">
        <v>425364</v>
      </c>
      <c r="P6" s="10">
        <v>721</v>
      </c>
      <c r="Q6" s="10">
        <v>2560</v>
      </c>
      <c r="R6" s="10"/>
      <c r="S6" s="10">
        <v>4</v>
      </c>
      <c r="T6" s="10"/>
      <c r="U6" s="10"/>
      <c r="V6" s="10">
        <v>266872</v>
      </c>
      <c r="W6" s="10">
        <v>839764</v>
      </c>
      <c r="X6" s="10">
        <v>697</v>
      </c>
      <c r="Y6" s="10">
        <v>1309</v>
      </c>
      <c r="Z6" s="10">
        <v>764607</v>
      </c>
      <c r="AA6" s="10">
        <v>2098071</v>
      </c>
      <c r="AB6" s="10">
        <v>1170866</v>
      </c>
      <c r="AC6" s="10">
        <v>4878792</v>
      </c>
      <c r="AD6" s="10">
        <v>427623</v>
      </c>
      <c r="AE6" s="10">
        <v>1661009</v>
      </c>
      <c r="AF6" s="10">
        <v>10634</v>
      </c>
      <c r="AG6" s="10">
        <v>47917</v>
      </c>
      <c r="AH6" s="10">
        <v>88581</v>
      </c>
      <c r="AI6" s="10">
        <v>154642</v>
      </c>
      <c r="AJ6" s="10">
        <v>17312</v>
      </c>
      <c r="AK6" s="10">
        <v>126503</v>
      </c>
      <c r="AL6" s="10"/>
      <c r="AM6" s="10"/>
      <c r="AN6" s="10"/>
      <c r="AO6" s="10"/>
      <c r="AP6" s="10">
        <v>1495310.4670000002</v>
      </c>
      <c r="AQ6" s="10">
        <v>6448913.2570000002</v>
      </c>
      <c r="AR6" s="10">
        <v>3505731</v>
      </c>
      <c r="AS6" s="10">
        <v>11760704</v>
      </c>
      <c r="AT6" s="10">
        <v>1821620</v>
      </c>
      <c r="AU6" s="10">
        <v>4971906</v>
      </c>
      <c r="AV6" s="10">
        <v>824</v>
      </c>
      <c r="AW6" s="10">
        <v>1435</v>
      </c>
      <c r="AX6" s="10">
        <v>369804</v>
      </c>
      <c r="AY6" s="10">
        <v>1505659</v>
      </c>
      <c r="AZ6" s="10"/>
      <c r="BA6" s="10"/>
      <c r="BB6" s="10"/>
      <c r="BC6" s="10"/>
      <c r="BD6" s="10">
        <v>231121</v>
      </c>
      <c r="BE6" s="10">
        <v>1071677</v>
      </c>
      <c r="BF6" s="10">
        <v>766788</v>
      </c>
      <c r="BG6" s="10">
        <v>2018175</v>
      </c>
      <c r="BH6" s="10">
        <v>41517</v>
      </c>
      <c r="BI6" s="10">
        <v>104522</v>
      </c>
      <c r="BJ6" s="10"/>
      <c r="BK6" s="10"/>
      <c r="BL6" s="10">
        <v>649764</v>
      </c>
      <c r="BM6" s="10">
        <v>2168812</v>
      </c>
      <c r="BN6" s="10">
        <v>2191446</v>
      </c>
      <c r="BO6" s="10">
        <v>5738075</v>
      </c>
      <c r="BP6" s="10">
        <v>75977</v>
      </c>
      <c r="BQ6" s="10">
        <v>216620</v>
      </c>
      <c r="BR6" s="85">
        <f>SUM(B6+D6+F6+H6+J6+L6+N6+P6+R6+T6+V6+X6+Z6+AB6+AD6+AF6+AH6+AJ6+AL6+AN6+AP6+AR6+AT6+AV6+AX6+AZ6+BB6+BD6+BF6+BH6+BJ6+BL6+BN6+BP6)</f>
        <v>14992444.467</v>
      </c>
      <c r="BS6" s="85">
        <f>SUM(C6+E6+G6+I6+K6+M6+O6+Q6+S6+U6+W6+Y6+AA6+AC6+AE6+AG6+AI6+AK6+AM6+AO6+AQ6+AS6+AU6+AW6+AY6+BA6+BC6+BE6+BG6+BI6+BK6+BM6+BO6+BQ6)</f>
        <v>49026314.256999999</v>
      </c>
    </row>
    <row r="7" spans="1:71" x14ac:dyDescent="0.25">
      <c r="A7" s="10" t="s">
        <v>292</v>
      </c>
      <c r="B7" s="10"/>
      <c r="C7" s="10"/>
      <c r="D7" s="10"/>
      <c r="E7" s="10"/>
      <c r="F7" s="10"/>
      <c r="G7" s="10"/>
      <c r="H7" s="10"/>
      <c r="I7" s="10"/>
      <c r="J7" s="10">
        <v>-357906</v>
      </c>
      <c r="K7" s="10">
        <v>1894709</v>
      </c>
      <c r="L7" s="10">
        <v>1054</v>
      </c>
      <c r="M7" s="10">
        <v>323096</v>
      </c>
      <c r="N7" s="10">
        <v>348126</v>
      </c>
      <c r="O7" s="10">
        <v>348126</v>
      </c>
      <c r="P7" s="10">
        <v>30224</v>
      </c>
      <c r="Q7" s="10">
        <v>30224</v>
      </c>
      <c r="R7" s="10">
        <v>19831</v>
      </c>
      <c r="S7" s="10">
        <v>19831</v>
      </c>
      <c r="T7" s="10"/>
      <c r="U7" s="10"/>
      <c r="V7" s="10">
        <v>700764</v>
      </c>
      <c r="W7" s="10">
        <v>700764</v>
      </c>
      <c r="X7" s="10">
        <v>14315</v>
      </c>
      <c r="Y7" s="10">
        <v>138518</v>
      </c>
      <c r="Z7" s="10">
        <v>10152916</v>
      </c>
      <c r="AA7" s="10">
        <v>10152916</v>
      </c>
      <c r="AB7" s="10">
        <v>17898912</v>
      </c>
      <c r="AC7" s="10">
        <v>17898912</v>
      </c>
      <c r="AD7" s="10">
        <v>-75038</v>
      </c>
      <c r="AE7" s="10">
        <v>743642</v>
      </c>
      <c r="AF7" s="10">
        <v>60442</v>
      </c>
      <c r="AG7" s="10">
        <v>60442</v>
      </c>
      <c r="AH7" s="10">
        <v>599191</v>
      </c>
      <c r="AI7" s="10">
        <v>599191</v>
      </c>
      <c r="AJ7" s="10">
        <v>1803368</v>
      </c>
      <c r="AK7" s="10">
        <v>1803368</v>
      </c>
      <c r="AL7" s="10"/>
      <c r="AM7" s="10"/>
      <c r="AN7" s="10"/>
      <c r="AO7" s="10"/>
      <c r="AP7" s="10">
        <v>-938991.1969999983</v>
      </c>
      <c r="AQ7" s="10">
        <v>11653318.596000001</v>
      </c>
      <c r="AR7" s="10">
        <v>53732343</v>
      </c>
      <c r="AS7" s="10">
        <v>53732343</v>
      </c>
      <c r="AT7" s="10">
        <v>-322838</v>
      </c>
      <c r="AU7" s="10">
        <v>24174744</v>
      </c>
      <c r="AV7" s="10">
        <v>-605</v>
      </c>
      <c r="AW7" s="10">
        <v>5796</v>
      </c>
      <c r="AX7" s="10">
        <v>1123831</v>
      </c>
      <c r="AY7" s="10">
        <v>1123831</v>
      </c>
      <c r="AZ7" s="10"/>
      <c r="BA7" s="10"/>
      <c r="BB7" s="10"/>
      <c r="BC7" s="10"/>
      <c r="BD7" s="10">
        <v>161198</v>
      </c>
      <c r="BE7" s="10">
        <v>2235467</v>
      </c>
      <c r="BF7" s="10">
        <v>1429571</v>
      </c>
      <c r="BG7" s="10">
        <v>1429571</v>
      </c>
      <c r="BH7" s="10">
        <v>159976</v>
      </c>
      <c r="BI7" s="10">
        <v>159976</v>
      </c>
      <c r="BJ7" s="10"/>
      <c r="BK7" s="10"/>
      <c r="BL7" s="10">
        <v>44865</v>
      </c>
      <c r="BM7" s="10">
        <v>889615</v>
      </c>
      <c r="BN7" s="10">
        <v>18464114</v>
      </c>
      <c r="BO7" s="10">
        <v>18464114</v>
      </c>
      <c r="BP7" s="10">
        <v>25507</v>
      </c>
      <c r="BQ7" s="10">
        <v>452316</v>
      </c>
      <c r="BR7" s="85">
        <f>SUM(B7+D7+F7+H7+J7+L7+N7+P7+R7+T7+V7+X7+Z7+AB7+AD7+AF7+AH7+AJ7+AL7+AN7+AP7+AR7+AT7+AV7+AX7+AZ7+BB7+BD7+BF7+BH7+BJ7+BL7+BN7+BP7)</f>
        <v>105075169.803</v>
      </c>
      <c r="BS7" s="85">
        <f>SUM(C7+E7+G7+I7+K7+M7+O7+Q7+S7+U7+W7+Y7+AA7+AC7+AE7+AG7+AI7+AK7+AM7+AO7+AQ7+AS7+AU7+AW7+AY7+BA7+BC7+BE7+BG7+BI7+BK7+BM7+BO7+BQ7)</f>
        <v>149034830.59600002</v>
      </c>
    </row>
    <row r="8" spans="1:71" x14ac:dyDescent="0.25">
      <c r="A8" s="10" t="s">
        <v>291</v>
      </c>
      <c r="B8" s="10"/>
      <c r="C8" s="10"/>
      <c r="D8" s="10"/>
      <c r="E8" s="10"/>
      <c r="F8" s="10"/>
      <c r="G8" s="10"/>
      <c r="H8" s="10"/>
      <c r="I8" s="10"/>
      <c r="J8" s="10"/>
      <c r="K8" s="10">
        <v>1508662</v>
      </c>
      <c r="L8" s="10"/>
      <c r="M8" s="10">
        <v>256889</v>
      </c>
      <c r="N8" s="10">
        <v>392534</v>
      </c>
      <c r="O8" s="10">
        <v>227520</v>
      </c>
      <c r="P8" s="10">
        <v>-54503</v>
      </c>
      <c r="Q8" s="10">
        <v>-71269</v>
      </c>
      <c r="R8" s="10">
        <v>10461</v>
      </c>
      <c r="S8" s="10">
        <v>15895</v>
      </c>
      <c r="T8" s="10"/>
      <c r="U8" s="10"/>
      <c r="V8" s="10">
        <v>675184.2</v>
      </c>
      <c r="W8" s="10">
        <v>637501</v>
      </c>
      <c r="X8" s="10"/>
      <c r="Y8" s="10">
        <v>79663</v>
      </c>
      <c r="Z8" s="10">
        <v>-9070674</v>
      </c>
      <c r="AA8" s="10">
        <v>-8154893</v>
      </c>
      <c r="AB8" s="10">
        <v>16877875</v>
      </c>
      <c r="AC8" s="10">
        <v>16778993</v>
      </c>
      <c r="AD8" s="10"/>
      <c r="AE8" s="10">
        <v>815656</v>
      </c>
      <c r="AF8" s="10">
        <v>55998</v>
      </c>
      <c r="AG8" s="10">
        <v>26672</v>
      </c>
      <c r="AH8" s="10">
        <v>789391</v>
      </c>
      <c r="AI8" s="10">
        <v>1104635</v>
      </c>
      <c r="AJ8" s="10">
        <v>-1549648</v>
      </c>
      <c r="AK8" s="10">
        <v>-1392269</v>
      </c>
      <c r="AL8" s="10"/>
      <c r="AM8" s="10"/>
      <c r="AN8" s="10"/>
      <c r="AO8" s="10"/>
      <c r="AP8" s="10">
        <v>0</v>
      </c>
      <c r="AQ8" s="10">
        <v>15448689.581999999</v>
      </c>
      <c r="AR8" s="10">
        <v>47970855</v>
      </c>
      <c r="AS8" s="10">
        <v>47970855</v>
      </c>
      <c r="AT8" s="10">
        <v>23579151</v>
      </c>
      <c r="AU8" s="10">
        <v>23579151</v>
      </c>
      <c r="AV8" s="10"/>
      <c r="AW8" s="10">
        <v>2751</v>
      </c>
      <c r="AX8" s="10">
        <v>1148803</v>
      </c>
      <c r="AY8" s="10">
        <v>941474</v>
      </c>
      <c r="AZ8" s="10"/>
      <c r="BA8" s="10"/>
      <c r="BB8" s="10"/>
      <c r="BC8" s="10"/>
      <c r="BD8" s="10"/>
      <c r="BE8" s="10">
        <v>-2345951</v>
      </c>
      <c r="BF8" s="10">
        <v>1581336</v>
      </c>
      <c r="BG8" s="10">
        <v>1090749</v>
      </c>
      <c r="BH8" s="10">
        <v>191133</v>
      </c>
      <c r="BI8" s="10">
        <v>186350</v>
      </c>
      <c r="BJ8" s="10"/>
      <c r="BK8" s="10"/>
      <c r="BL8" s="10"/>
      <c r="BM8" s="10">
        <v>756109</v>
      </c>
      <c r="BN8" s="10">
        <v>19911772</v>
      </c>
      <c r="BO8" s="10">
        <v>14350874</v>
      </c>
      <c r="BP8" s="10"/>
      <c r="BQ8" s="10">
        <v>320605</v>
      </c>
      <c r="BR8" s="85">
        <f t="shared" ref="BR8:BR11" si="0">SUM(B8+D8+F8+H8+J8+L8+N8+P8+R8+T8+V8+X8+Z8+AB8+AD8+AF8+AH8+AJ8+AL8+AN8+AP8+AR8+AT8+AV8+AX8+AZ8+BB8+BD8+BF8+BH8+BJ8+BL8+BN8+BP8)</f>
        <v>102509668.2</v>
      </c>
      <c r="BS8" s="85">
        <f t="shared" ref="BS8:BS11" si="1">SUM(C8+E8+G8+I8+K8+M8+O8+Q8+S8+U8+W8+Y8+AA8+AC8+AE8+AG8+AI8+AK8+AM8+AO8+AQ8+AS8+AU8+AW8+AY8+BA8+BC8+BE8+BG8+BI8+BK8+BM8+BO8+BQ8)</f>
        <v>114135311.582</v>
      </c>
    </row>
    <row r="9" spans="1:71" x14ac:dyDescent="0.25">
      <c r="A9" s="26" t="s">
        <v>306</v>
      </c>
      <c r="B9" s="10"/>
      <c r="C9" s="10"/>
      <c r="D9" s="10"/>
      <c r="E9" s="10"/>
      <c r="F9" s="10"/>
      <c r="G9" s="10"/>
      <c r="H9" s="10"/>
      <c r="I9" s="10"/>
      <c r="J9" s="10">
        <v>552254</v>
      </c>
      <c r="K9" s="10">
        <v>2957420</v>
      </c>
      <c r="L9" s="10"/>
      <c r="M9" s="10"/>
      <c r="N9" s="10">
        <v>69698</v>
      </c>
      <c r="O9" s="10">
        <v>545970</v>
      </c>
      <c r="P9" s="10">
        <v>-23558</v>
      </c>
      <c r="Q9" s="10">
        <v>-38485</v>
      </c>
      <c r="R9" s="10">
        <v>9370</v>
      </c>
      <c r="S9" s="10">
        <v>3940</v>
      </c>
      <c r="T9" s="10"/>
      <c r="U9" s="10"/>
      <c r="V9" s="10"/>
      <c r="W9" s="10"/>
      <c r="X9" s="10"/>
      <c r="Y9" s="10"/>
      <c r="Z9" s="10">
        <v>1846848</v>
      </c>
      <c r="AA9" s="10">
        <v>4096094</v>
      </c>
      <c r="AB9" s="10">
        <v>2191903</v>
      </c>
      <c r="AC9" s="10">
        <v>5998711</v>
      </c>
      <c r="AD9" s="10">
        <v>352585</v>
      </c>
      <c r="AE9" s="10">
        <v>1588995</v>
      </c>
      <c r="AF9" s="10">
        <v>15078</v>
      </c>
      <c r="AG9" s="10">
        <v>81687</v>
      </c>
      <c r="AH9" s="10">
        <v>-101619</v>
      </c>
      <c r="AI9" s="10">
        <v>-350802</v>
      </c>
      <c r="AJ9" s="10">
        <v>271032</v>
      </c>
      <c r="AK9" s="10">
        <v>537602</v>
      </c>
      <c r="AL9" s="10"/>
      <c r="AM9" s="10"/>
      <c r="AN9" s="10"/>
      <c r="AO9" s="10"/>
      <c r="AP9" s="10"/>
      <c r="AQ9" s="10"/>
      <c r="AR9" s="10">
        <v>9267219</v>
      </c>
      <c r="AS9" s="10">
        <v>17522192</v>
      </c>
      <c r="AT9" s="10">
        <v>1516944</v>
      </c>
      <c r="AU9" s="10">
        <v>5567499</v>
      </c>
      <c r="AV9" s="10">
        <v>219</v>
      </c>
      <c r="AW9" s="10">
        <v>4480</v>
      </c>
      <c r="AX9" s="10"/>
      <c r="AY9" s="10"/>
      <c r="AZ9" s="10"/>
      <c r="BA9" s="10"/>
      <c r="BB9" s="10"/>
      <c r="BC9" s="10"/>
      <c r="BD9" s="10">
        <v>392319</v>
      </c>
      <c r="BE9" s="10">
        <v>961193</v>
      </c>
      <c r="BF9" s="10"/>
      <c r="BG9" s="10"/>
      <c r="BH9" s="10"/>
      <c r="BI9" s="10"/>
      <c r="BJ9" s="10"/>
      <c r="BK9" s="10"/>
      <c r="BL9" s="10">
        <v>694629</v>
      </c>
      <c r="BM9" s="10">
        <v>2302318</v>
      </c>
      <c r="BN9" s="10">
        <v>743788</v>
      </c>
      <c r="BO9" s="10">
        <v>9851315</v>
      </c>
      <c r="BP9" s="10">
        <v>101484</v>
      </c>
      <c r="BQ9" s="10">
        <v>348331</v>
      </c>
      <c r="BR9" s="85">
        <f t="shared" si="0"/>
        <v>17900193</v>
      </c>
      <c r="BS9" s="85">
        <f t="shared" si="1"/>
        <v>51978460</v>
      </c>
    </row>
    <row r="10" spans="1:71" x14ac:dyDescent="0.25">
      <c r="A10" s="26" t="s">
        <v>289</v>
      </c>
      <c r="B10" s="10"/>
      <c r="C10" s="10"/>
      <c r="D10" s="10"/>
      <c r="E10" s="10"/>
      <c r="F10" s="10"/>
      <c r="G10" s="10"/>
      <c r="H10" s="10"/>
      <c r="I10" s="10"/>
      <c r="J10" s="10">
        <v>2669</v>
      </c>
      <c r="K10" s="10">
        <v>30625</v>
      </c>
      <c r="L10" s="10">
        <v>13589</v>
      </c>
      <c r="M10" s="10">
        <v>36988</v>
      </c>
      <c r="N10" s="10">
        <v>-62</v>
      </c>
      <c r="O10" s="10">
        <v>-1331</v>
      </c>
      <c r="P10" s="10">
        <v>1</v>
      </c>
      <c r="Q10" s="10">
        <v>7</v>
      </c>
      <c r="R10" s="10">
        <v>3</v>
      </c>
      <c r="S10" s="10">
        <v>35</v>
      </c>
      <c r="T10" s="10"/>
      <c r="U10" s="10"/>
      <c r="V10" s="10">
        <v>95906</v>
      </c>
      <c r="W10" s="10">
        <v>101181</v>
      </c>
      <c r="X10" s="10">
        <v>81048</v>
      </c>
      <c r="Y10" s="10">
        <v>152280</v>
      </c>
      <c r="Z10" s="10">
        <v>28085</v>
      </c>
      <c r="AA10" s="10">
        <v>207228</v>
      </c>
      <c r="AB10" s="10">
        <v>81879</v>
      </c>
      <c r="AC10" s="10">
        <v>60399</v>
      </c>
      <c r="AD10" s="10">
        <v>110658</v>
      </c>
      <c r="AE10" s="10">
        <v>131900</v>
      </c>
      <c r="AF10" s="10">
        <v>3</v>
      </c>
      <c r="AG10" s="10">
        <v>35</v>
      </c>
      <c r="AH10" s="10">
        <v>6</v>
      </c>
      <c r="AI10" s="10">
        <v>938</v>
      </c>
      <c r="AJ10" s="10">
        <v>8824</v>
      </c>
      <c r="AK10" s="10">
        <v>35356</v>
      </c>
      <c r="AL10" s="10"/>
      <c r="AM10" s="10"/>
      <c r="AN10" s="10"/>
      <c r="AO10" s="10"/>
      <c r="AP10" s="10">
        <v>98105.85699999996</v>
      </c>
      <c r="AQ10" s="10">
        <v>798406.549</v>
      </c>
      <c r="AR10" s="10">
        <v>2012493</v>
      </c>
      <c r="AS10" s="10">
        <v>5900087</v>
      </c>
      <c r="AT10" s="10">
        <v>54546</v>
      </c>
      <c r="AU10" s="10">
        <v>734713</v>
      </c>
      <c r="AV10" s="10">
        <v>0</v>
      </c>
      <c r="AW10" s="10">
        <v>3</v>
      </c>
      <c r="AX10" s="10">
        <v>8507</v>
      </c>
      <c r="AY10" s="10">
        <v>100215</v>
      </c>
      <c r="AZ10" s="10"/>
      <c r="BA10" s="10"/>
      <c r="BB10" s="10"/>
      <c r="BC10" s="10"/>
      <c r="BD10" s="10">
        <v>5794</v>
      </c>
      <c r="BE10" s="10">
        <v>21862</v>
      </c>
      <c r="BF10" s="10">
        <v>4</v>
      </c>
      <c r="BG10" s="10">
        <v>54</v>
      </c>
      <c r="BH10" s="10">
        <v>6</v>
      </c>
      <c r="BI10" s="10">
        <v>70</v>
      </c>
      <c r="BJ10" s="10"/>
      <c r="BK10" s="10"/>
      <c r="BL10" s="10">
        <v>13482</v>
      </c>
      <c r="BM10" s="10">
        <v>301033</v>
      </c>
      <c r="BN10" s="10">
        <v>221634</v>
      </c>
      <c r="BO10" s="10">
        <v>1093220</v>
      </c>
      <c r="BP10" s="10">
        <v>3</v>
      </c>
      <c r="BQ10" s="10">
        <v>35</v>
      </c>
      <c r="BR10" s="85">
        <f t="shared" si="0"/>
        <v>2837183.8569999998</v>
      </c>
      <c r="BS10" s="85">
        <f t="shared" si="1"/>
        <v>9705339.5490000006</v>
      </c>
    </row>
    <row r="11" spans="1:71" x14ac:dyDescent="0.25">
      <c r="A11" s="26" t="s">
        <v>290</v>
      </c>
      <c r="B11" s="10"/>
      <c r="C11" s="10"/>
      <c r="D11" s="10"/>
      <c r="E11" s="10"/>
      <c r="F11" s="10"/>
      <c r="G11" s="10"/>
      <c r="H11" s="10"/>
      <c r="I11" s="10"/>
      <c r="J11" s="10">
        <v>463723</v>
      </c>
      <c r="K11" s="10">
        <v>1483254</v>
      </c>
      <c r="L11" s="10">
        <v>59422</v>
      </c>
      <c r="M11" s="10">
        <v>176587</v>
      </c>
      <c r="N11" s="10">
        <v>46973</v>
      </c>
      <c r="O11" s="10">
        <v>187046</v>
      </c>
      <c r="P11" s="10">
        <v>97</v>
      </c>
      <c r="Q11" s="10">
        <v>-599</v>
      </c>
      <c r="R11" s="10">
        <v>5004</v>
      </c>
      <c r="S11" s="10">
        <v>-9799</v>
      </c>
      <c r="T11" s="10"/>
      <c r="U11" s="10"/>
      <c r="V11" s="10">
        <v>230449</v>
      </c>
      <c r="W11" s="10">
        <v>598326</v>
      </c>
      <c r="X11" s="10">
        <v>72718</v>
      </c>
      <c r="Y11" s="10">
        <v>135228</v>
      </c>
      <c r="Z11" s="10">
        <v>-632890</v>
      </c>
      <c r="AA11" s="10">
        <v>-1786660</v>
      </c>
      <c r="AB11" s="10">
        <v>934414</v>
      </c>
      <c r="AC11" s="10">
        <v>4242523</v>
      </c>
      <c r="AD11" s="10">
        <v>425915</v>
      </c>
      <c r="AE11" s="10">
        <v>1477987</v>
      </c>
      <c r="AF11" s="10">
        <v>6110</v>
      </c>
      <c r="AG11" s="10">
        <v>36809</v>
      </c>
      <c r="AH11" s="10">
        <v>75080</v>
      </c>
      <c r="AI11" s="10">
        <v>126781</v>
      </c>
      <c r="AJ11" s="10">
        <v>-21822</v>
      </c>
      <c r="AK11" s="10">
        <v>-140881</v>
      </c>
      <c r="AL11" s="10"/>
      <c r="AM11" s="10"/>
      <c r="AN11" s="10"/>
      <c r="AO11" s="10"/>
      <c r="AP11" s="10">
        <v>392694.63500000001</v>
      </c>
      <c r="AQ11" s="10">
        <v>373637.326</v>
      </c>
      <c r="AR11" s="10">
        <v>1659855</v>
      </c>
      <c r="AS11" s="10">
        <v>3679892</v>
      </c>
      <c r="AT11" s="10">
        <v>704897</v>
      </c>
      <c r="AU11" s="10">
        <v>2284809</v>
      </c>
      <c r="AV11" s="10">
        <v>659</v>
      </c>
      <c r="AW11" s="10">
        <v>1102</v>
      </c>
      <c r="AX11" s="10">
        <v>263252</v>
      </c>
      <c r="AY11" s="10">
        <v>1264093</v>
      </c>
      <c r="AZ11" s="10"/>
      <c r="BA11" s="10"/>
      <c r="BB11" s="10"/>
      <c r="BC11" s="10"/>
      <c r="BD11" s="10">
        <v>-190703</v>
      </c>
      <c r="BE11" s="10">
        <v>-922418</v>
      </c>
      <c r="BF11" s="10">
        <v>513974</v>
      </c>
      <c r="BG11" s="10">
        <v>1364449</v>
      </c>
      <c r="BH11" s="10">
        <v>31814</v>
      </c>
      <c r="BI11" s="10">
        <v>70421</v>
      </c>
      <c r="BJ11" s="10"/>
      <c r="BK11" s="10"/>
      <c r="BL11" s="10">
        <v>520595</v>
      </c>
      <c r="BM11" s="10">
        <v>1983457</v>
      </c>
      <c r="BN11" s="10">
        <v>672030</v>
      </c>
      <c r="BO11" s="10">
        <v>2903456</v>
      </c>
      <c r="BP11" s="10">
        <v>46955</v>
      </c>
      <c r="BQ11" s="10">
        <v>89086</v>
      </c>
      <c r="BR11" s="85">
        <f t="shared" si="0"/>
        <v>6281215.6349999998</v>
      </c>
      <c r="BS11" s="85">
        <f t="shared" si="1"/>
        <v>19618586.326000001</v>
      </c>
    </row>
    <row r="12" spans="1:71" x14ac:dyDescent="0.25">
      <c r="A12" s="26" t="s">
        <v>286</v>
      </c>
      <c r="B12" s="10"/>
      <c r="C12" s="10"/>
      <c r="D12" s="10"/>
      <c r="E12" s="10"/>
      <c r="F12" s="10"/>
      <c r="G12" s="10"/>
      <c r="H12" s="10"/>
      <c r="I12" s="10"/>
      <c r="J12" s="10">
        <v>91200</v>
      </c>
      <c r="K12" s="10">
        <v>1504791</v>
      </c>
      <c r="L12" s="10">
        <v>25583</v>
      </c>
      <c r="M12" s="10">
        <v>139116</v>
      </c>
      <c r="N12" s="10">
        <v>22663</v>
      </c>
      <c r="O12" s="10">
        <v>357593</v>
      </c>
      <c r="P12" s="10">
        <v>-18226</v>
      </c>
      <c r="Q12" s="10">
        <v>-39969</v>
      </c>
      <c r="R12" s="10">
        <v>4369</v>
      </c>
      <c r="S12" s="10">
        <v>13774</v>
      </c>
      <c r="T12" s="10"/>
      <c r="U12" s="10"/>
      <c r="V12" s="10">
        <v>157908</v>
      </c>
      <c r="W12" s="10">
        <v>405882</v>
      </c>
      <c r="X12" s="10">
        <v>23343</v>
      </c>
      <c r="Y12" s="10">
        <v>77217</v>
      </c>
      <c r="Z12" s="10">
        <v>345036</v>
      </c>
      <c r="AA12" s="10">
        <v>908440</v>
      </c>
      <c r="AB12" s="10">
        <v>403327</v>
      </c>
      <c r="AC12" s="10">
        <v>1289006</v>
      </c>
      <c r="AD12" s="10">
        <v>37328</v>
      </c>
      <c r="AE12" s="10">
        <v>242908</v>
      </c>
      <c r="AF12" s="10">
        <v>8971</v>
      </c>
      <c r="AG12" s="10">
        <v>44913</v>
      </c>
      <c r="AH12" s="10">
        <v>-20799</v>
      </c>
      <c r="AI12" s="10">
        <v>-9389</v>
      </c>
      <c r="AJ12" s="10">
        <v>18812</v>
      </c>
      <c r="AK12" s="10">
        <v>47767</v>
      </c>
      <c r="AL12" s="10"/>
      <c r="AM12" s="10"/>
      <c r="AN12" s="10"/>
      <c r="AO12" s="10"/>
      <c r="AP12" s="10">
        <v>261730.49200000172</v>
      </c>
      <c r="AQ12" s="10">
        <v>3078311.4940000027</v>
      </c>
      <c r="AR12" s="10">
        <v>4188264</v>
      </c>
      <c r="AS12" s="10">
        <v>14310793</v>
      </c>
      <c r="AT12" s="10">
        <v>866593</v>
      </c>
      <c r="AU12" s="10">
        <v>4017403</v>
      </c>
      <c r="AV12" s="10">
        <v>-440</v>
      </c>
      <c r="AW12" s="10">
        <v>3382</v>
      </c>
      <c r="AX12" s="10">
        <v>90087</v>
      </c>
      <c r="AY12" s="10">
        <v>524138</v>
      </c>
      <c r="AZ12" s="10"/>
      <c r="BA12" s="10"/>
      <c r="BB12" s="10"/>
      <c r="BC12" s="10"/>
      <c r="BD12" s="10">
        <v>18048</v>
      </c>
      <c r="BE12" s="10">
        <v>146887</v>
      </c>
      <c r="BF12" s="10">
        <v>101053</v>
      </c>
      <c r="BG12" s="10">
        <v>992602</v>
      </c>
      <c r="BH12" s="10">
        <v>-21448</v>
      </c>
      <c r="BI12" s="10">
        <v>7797</v>
      </c>
      <c r="BJ12" s="10"/>
      <c r="BK12" s="10"/>
      <c r="BL12" s="10">
        <v>187516</v>
      </c>
      <c r="BM12" s="10">
        <v>619894</v>
      </c>
      <c r="BN12" s="10">
        <v>293392</v>
      </c>
      <c r="BO12" s="10">
        <v>8041079</v>
      </c>
      <c r="BP12" s="10">
        <v>54532</v>
      </c>
      <c r="BQ12" s="10">
        <v>259280</v>
      </c>
      <c r="BR12" s="85">
        <f>SUM(B12+D12+F12+H12+J12+L12+N12+P12+R12+T12+V12+X12+Z12+AB12+AD12+AF12+AH12+AJ12+AL12+AN12+AP12+AR12+AT12+AV12+AX12+AZ12+BB12+BD12+BF12+BH12+BJ12+BL12+BN12+BP12)</f>
        <v>7138842.4920000015</v>
      </c>
      <c r="BS12" s="85">
        <f>SUM(C12+E12+G12+I12+K12+M12+O12+Q12+S12+U12+W12+Y12+AA12+AC12+AE12+AG12+AI12+AK12+AM12+AO12+AQ12+AS12+AU12+AW12+AY12+BA12+BC12+BE12+BG12+BI12+BK12+BM12+BO12+BQ12)</f>
        <v>36983615.494000003</v>
      </c>
    </row>
    <row r="13" spans="1:71" x14ac:dyDescent="0.25">
      <c r="A13" s="18"/>
    </row>
    <row r="14" spans="1:71" x14ac:dyDescent="0.25">
      <c r="A14" s="33" t="s">
        <v>230</v>
      </c>
    </row>
    <row r="15" spans="1:71" x14ac:dyDescent="0.25">
      <c r="A15" s="3" t="s">
        <v>0</v>
      </c>
      <c r="B15" s="107" t="s">
        <v>1</v>
      </c>
      <c r="C15" s="108"/>
      <c r="D15" s="107" t="s">
        <v>2</v>
      </c>
      <c r="E15" s="108"/>
      <c r="F15" s="107" t="s">
        <v>3</v>
      </c>
      <c r="G15" s="108"/>
      <c r="H15" s="107" t="s">
        <v>307</v>
      </c>
      <c r="I15" s="108"/>
      <c r="J15" s="107" t="s">
        <v>5</v>
      </c>
      <c r="K15" s="108"/>
      <c r="L15" s="107" t="s">
        <v>6</v>
      </c>
      <c r="M15" s="108"/>
      <c r="N15" s="107" t="s">
        <v>7</v>
      </c>
      <c r="O15" s="108"/>
      <c r="P15" s="107" t="s">
        <v>8</v>
      </c>
      <c r="Q15" s="108"/>
      <c r="R15" s="107" t="s">
        <v>9</v>
      </c>
      <c r="S15" s="108"/>
      <c r="T15" s="107" t="s">
        <v>10</v>
      </c>
      <c r="U15" s="108"/>
      <c r="V15" s="107" t="s">
        <v>11</v>
      </c>
      <c r="W15" s="108"/>
      <c r="X15" s="107" t="s">
        <v>12</v>
      </c>
      <c r="Y15" s="108"/>
      <c r="Z15" s="107" t="s">
        <v>13</v>
      </c>
      <c r="AA15" s="108"/>
      <c r="AB15" s="107" t="s">
        <v>14</v>
      </c>
      <c r="AC15" s="108"/>
      <c r="AD15" s="107" t="s">
        <v>15</v>
      </c>
      <c r="AE15" s="108"/>
      <c r="AF15" s="107" t="s">
        <v>16</v>
      </c>
      <c r="AG15" s="108"/>
      <c r="AH15" s="107" t="s">
        <v>17</v>
      </c>
      <c r="AI15" s="108"/>
      <c r="AJ15" s="107" t="s">
        <v>18</v>
      </c>
      <c r="AK15" s="108"/>
      <c r="AL15" s="107" t="s">
        <v>296</v>
      </c>
      <c r="AM15" s="108"/>
      <c r="AN15" s="107" t="s">
        <v>19</v>
      </c>
      <c r="AO15" s="108"/>
      <c r="AP15" s="107" t="s">
        <v>20</v>
      </c>
      <c r="AQ15" s="108"/>
      <c r="AR15" s="107" t="s">
        <v>21</v>
      </c>
      <c r="AS15" s="108"/>
      <c r="AT15" s="107" t="s">
        <v>22</v>
      </c>
      <c r="AU15" s="108"/>
      <c r="AV15" s="107" t="s">
        <v>23</v>
      </c>
      <c r="AW15" s="108"/>
      <c r="AX15" s="107" t="s">
        <v>24</v>
      </c>
      <c r="AY15" s="108"/>
      <c r="AZ15" s="107" t="s">
        <v>25</v>
      </c>
      <c r="BA15" s="108"/>
      <c r="BB15" s="107" t="s">
        <v>26</v>
      </c>
      <c r="BC15" s="108"/>
      <c r="BD15" s="107" t="s">
        <v>27</v>
      </c>
      <c r="BE15" s="108"/>
      <c r="BF15" s="107" t="s">
        <v>28</v>
      </c>
      <c r="BG15" s="108"/>
      <c r="BH15" s="107" t="s">
        <v>29</v>
      </c>
      <c r="BI15" s="108"/>
      <c r="BJ15" s="107" t="s">
        <v>30</v>
      </c>
      <c r="BK15" s="108"/>
      <c r="BL15" s="107" t="s">
        <v>31</v>
      </c>
      <c r="BM15" s="108"/>
      <c r="BN15" s="111" t="s">
        <v>32</v>
      </c>
      <c r="BO15" s="112"/>
      <c r="BP15" s="107" t="s">
        <v>33</v>
      </c>
      <c r="BQ15" s="108"/>
      <c r="BR15" s="109" t="s">
        <v>34</v>
      </c>
      <c r="BS15" s="110"/>
    </row>
    <row r="16" spans="1:71" ht="30" x14ac:dyDescent="0.25">
      <c r="A16" s="3"/>
      <c r="B16" s="66" t="s">
        <v>294</v>
      </c>
      <c r="C16" s="67" t="s">
        <v>295</v>
      </c>
      <c r="D16" s="66" t="s">
        <v>294</v>
      </c>
      <c r="E16" s="67" t="s">
        <v>295</v>
      </c>
      <c r="F16" s="66" t="s">
        <v>294</v>
      </c>
      <c r="G16" s="67" t="s">
        <v>295</v>
      </c>
      <c r="H16" s="66" t="s">
        <v>294</v>
      </c>
      <c r="I16" s="67" t="s">
        <v>295</v>
      </c>
      <c r="J16" s="66" t="s">
        <v>294</v>
      </c>
      <c r="K16" s="67" t="s">
        <v>295</v>
      </c>
      <c r="L16" s="66" t="s">
        <v>294</v>
      </c>
      <c r="M16" s="67" t="s">
        <v>295</v>
      </c>
      <c r="N16" s="66" t="s">
        <v>294</v>
      </c>
      <c r="O16" s="67" t="s">
        <v>295</v>
      </c>
      <c r="P16" s="66" t="s">
        <v>294</v>
      </c>
      <c r="Q16" s="67" t="s">
        <v>295</v>
      </c>
      <c r="R16" s="66" t="s">
        <v>294</v>
      </c>
      <c r="S16" s="67" t="s">
        <v>295</v>
      </c>
      <c r="T16" s="66" t="s">
        <v>294</v>
      </c>
      <c r="U16" s="67" t="s">
        <v>295</v>
      </c>
      <c r="V16" s="66" t="s">
        <v>294</v>
      </c>
      <c r="W16" s="67" t="s">
        <v>295</v>
      </c>
      <c r="X16" s="66" t="s">
        <v>294</v>
      </c>
      <c r="Y16" s="67" t="s">
        <v>295</v>
      </c>
      <c r="Z16" s="66" t="s">
        <v>294</v>
      </c>
      <c r="AA16" s="67" t="s">
        <v>295</v>
      </c>
      <c r="AB16" s="66" t="s">
        <v>294</v>
      </c>
      <c r="AC16" s="67" t="s">
        <v>295</v>
      </c>
      <c r="AD16" s="66" t="s">
        <v>294</v>
      </c>
      <c r="AE16" s="67" t="s">
        <v>295</v>
      </c>
      <c r="AF16" s="66" t="s">
        <v>294</v>
      </c>
      <c r="AG16" s="67" t="s">
        <v>295</v>
      </c>
      <c r="AH16" s="66" t="s">
        <v>294</v>
      </c>
      <c r="AI16" s="67" t="s">
        <v>295</v>
      </c>
      <c r="AJ16" s="66" t="s">
        <v>294</v>
      </c>
      <c r="AK16" s="67" t="s">
        <v>295</v>
      </c>
      <c r="AL16" s="66" t="s">
        <v>294</v>
      </c>
      <c r="AM16" s="67" t="s">
        <v>295</v>
      </c>
      <c r="AN16" s="66" t="s">
        <v>294</v>
      </c>
      <c r="AO16" s="67" t="s">
        <v>295</v>
      </c>
      <c r="AP16" s="66" t="s">
        <v>294</v>
      </c>
      <c r="AQ16" s="67" t="s">
        <v>295</v>
      </c>
      <c r="AR16" s="66" t="s">
        <v>294</v>
      </c>
      <c r="AS16" s="67" t="s">
        <v>295</v>
      </c>
      <c r="AT16" s="66" t="s">
        <v>294</v>
      </c>
      <c r="AU16" s="67" t="s">
        <v>295</v>
      </c>
      <c r="AV16" s="66" t="s">
        <v>294</v>
      </c>
      <c r="AW16" s="67" t="s">
        <v>295</v>
      </c>
      <c r="AX16" s="66" t="s">
        <v>294</v>
      </c>
      <c r="AY16" s="67" t="s">
        <v>295</v>
      </c>
      <c r="AZ16" s="66" t="s">
        <v>294</v>
      </c>
      <c r="BA16" s="67" t="s">
        <v>295</v>
      </c>
      <c r="BB16" s="66" t="s">
        <v>294</v>
      </c>
      <c r="BC16" s="67" t="s">
        <v>295</v>
      </c>
      <c r="BD16" s="66" t="s">
        <v>294</v>
      </c>
      <c r="BE16" s="67" t="s">
        <v>295</v>
      </c>
      <c r="BF16" s="66" t="s">
        <v>294</v>
      </c>
      <c r="BG16" s="67" t="s">
        <v>295</v>
      </c>
      <c r="BH16" s="66" t="s">
        <v>294</v>
      </c>
      <c r="BI16" s="67" t="s">
        <v>295</v>
      </c>
      <c r="BJ16" s="66" t="s">
        <v>294</v>
      </c>
      <c r="BK16" s="67" t="s">
        <v>295</v>
      </c>
      <c r="BL16" s="66" t="s">
        <v>294</v>
      </c>
      <c r="BM16" s="67" t="s">
        <v>295</v>
      </c>
      <c r="BN16" s="66" t="s">
        <v>294</v>
      </c>
      <c r="BO16" s="67" t="s">
        <v>295</v>
      </c>
      <c r="BP16" s="66" t="s">
        <v>294</v>
      </c>
      <c r="BQ16" s="67" t="s">
        <v>295</v>
      </c>
      <c r="BR16" s="66" t="s">
        <v>294</v>
      </c>
      <c r="BS16" s="67" t="s">
        <v>295</v>
      </c>
    </row>
    <row r="17" spans="1:71" x14ac:dyDescent="0.25">
      <c r="A17" s="26" t="s">
        <v>241</v>
      </c>
      <c r="B17" s="10"/>
      <c r="C17" s="10"/>
      <c r="D17" s="10"/>
      <c r="E17" s="10"/>
      <c r="F17" s="10"/>
      <c r="G17" s="10"/>
      <c r="H17" s="10"/>
      <c r="I17" s="10"/>
      <c r="J17" s="10">
        <v>272034</v>
      </c>
      <c r="K17" s="10">
        <v>791900</v>
      </c>
      <c r="L17" s="10">
        <v>130593</v>
      </c>
      <c r="M17" s="10">
        <v>344390</v>
      </c>
      <c r="N17" s="10">
        <v>144030</v>
      </c>
      <c r="O17" s="10">
        <v>483080</v>
      </c>
      <c r="P17" s="10"/>
      <c r="Q17" s="10"/>
      <c r="R17" s="10">
        <v>1498</v>
      </c>
      <c r="S17" s="10">
        <v>2786</v>
      </c>
      <c r="T17" s="10"/>
      <c r="U17" s="10"/>
      <c r="V17" s="10">
        <v>113015</v>
      </c>
      <c r="W17" s="10">
        <v>267201</v>
      </c>
      <c r="X17" s="10"/>
      <c r="Y17" s="10"/>
      <c r="Z17" s="10">
        <f>4695+318182</f>
        <v>322877</v>
      </c>
      <c r="AA17" s="10">
        <f>9095+857369</f>
        <v>866464</v>
      </c>
      <c r="AB17" s="10">
        <v>995179</v>
      </c>
      <c r="AC17" s="10">
        <v>2091776</v>
      </c>
      <c r="AD17" s="10">
        <v>281169</v>
      </c>
      <c r="AE17" s="10">
        <v>728966</v>
      </c>
      <c r="AF17" s="10"/>
      <c r="AG17" s="10"/>
      <c r="AH17" s="10">
        <v>72543</v>
      </c>
      <c r="AI17" s="10">
        <v>168417</v>
      </c>
      <c r="AJ17" s="10">
        <v>23217</v>
      </c>
      <c r="AK17" s="10">
        <v>83992</v>
      </c>
      <c r="AL17" s="10"/>
      <c r="AM17" s="10"/>
      <c r="AN17" s="10"/>
      <c r="AO17" s="10"/>
      <c r="AP17" s="10">
        <v>245332.68800000002</v>
      </c>
      <c r="AQ17" s="10">
        <v>757763.49600000004</v>
      </c>
      <c r="AR17" s="10">
        <v>744801</v>
      </c>
      <c r="AS17" s="10">
        <v>2589528</v>
      </c>
      <c r="AT17" s="10">
        <v>614701</v>
      </c>
      <c r="AU17" s="10">
        <v>2025423</v>
      </c>
      <c r="AV17" s="10"/>
      <c r="AW17" s="10"/>
      <c r="AX17" s="10">
        <v>218651</v>
      </c>
      <c r="AY17" s="10">
        <v>764578</v>
      </c>
      <c r="AZ17" s="10"/>
      <c r="BA17" s="10"/>
      <c r="BB17" s="10"/>
      <c r="BC17" s="10"/>
      <c r="BD17" s="10">
        <v>44755</v>
      </c>
      <c r="BE17" s="10">
        <v>176330</v>
      </c>
      <c r="BF17" s="10">
        <v>36612</v>
      </c>
      <c r="BG17" s="10">
        <v>99292</v>
      </c>
      <c r="BH17" s="10">
        <v>2753</v>
      </c>
      <c r="BI17" s="10">
        <v>4749</v>
      </c>
      <c r="BJ17" s="10"/>
      <c r="BK17" s="10"/>
      <c r="BL17" s="10">
        <v>550142</v>
      </c>
      <c r="BM17" s="10">
        <v>1480617</v>
      </c>
      <c r="BN17" s="10">
        <v>382887</v>
      </c>
      <c r="BO17" s="10">
        <v>2138813</v>
      </c>
      <c r="BP17" s="10">
        <v>8496</v>
      </c>
      <c r="BQ17" s="10">
        <f>319+43514</f>
        <v>43833</v>
      </c>
      <c r="BR17" s="85">
        <f>SUM(B17+D17+F17+H17+J17+L17+N17+P17+R17+T17+V17+X17+Z17+AB17+AD17+AF17+AH17+AJ17+AL17+AN17+AP17+AR17+AT17+AV17+AX17+AZ17+BB17+BD17+BF17+BH17+BJ17+BL17+BN17+BP17)</f>
        <v>5205285.6880000001</v>
      </c>
      <c r="BS17" s="85">
        <f>SUM(C17+E17+G17+I17+K17+M17+O17+Q17+S17+U17+W17+Y17+AA17+AC17+AE17+AG17+AI17+AK17+AM17+AO17+AQ17+AS17+AU17+AW17+AY17+BA17+BC17+BE17+BG17+BI17+BK17+BM17+BO17+BQ17)</f>
        <v>15909898.495999999</v>
      </c>
    </row>
    <row r="18" spans="1:71" x14ac:dyDescent="0.25">
      <c r="A18" s="10" t="s">
        <v>292</v>
      </c>
      <c r="B18" s="10"/>
      <c r="C18" s="10"/>
      <c r="D18" s="10"/>
      <c r="E18" s="10"/>
      <c r="F18" s="10"/>
      <c r="G18" s="10"/>
      <c r="H18" s="10"/>
      <c r="I18" s="10"/>
      <c r="J18" s="10">
        <v>-58591</v>
      </c>
      <c r="K18" s="10">
        <v>699746</v>
      </c>
      <c r="L18" s="10">
        <v>71669</v>
      </c>
      <c r="M18" s="10">
        <v>350432</v>
      </c>
      <c r="N18" s="10">
        <v>64367</v>
      </c>
      <c r="O18" s="10">
        <v>64367</v>
      </c>
      <c r="P18" s="10"/>
      <c r="Q18" s="10"/>
      <c r="R18" s="10">
        <v>6333</v>
      </c>
      <c r="S18" s="10">
        <v>6333</v>
      </c>
      <c r="T18" s="10"/>
      <c r="U18" s="10"/>
      <c r="V18" s="10">
        <v>353054</v>
      </c>
      <c r="W18" s="10">
        <v>353054</v>
      </c>
      <c r="X18" s="10">
        <v>-728</v>
      </c>
      <c r="Y18" s="10">
        <v>219.28</v>
      </c>
      <c r="Z18" s="10">
        <f>849147+1144243</f>
        <v>1993390</v>
      </c>
      <c r="AA18" s="10">
        <f>849147+1144243</f>
        <v>1993390</v>
      </c>
      <c r="AB18" s="10">
        <v>5739984</v>
      </c>
      <c r="AC18" s="10">
        <v>5739984</v>
      </c>
      <c r="AD18" s="10">
        <v>-28587</v>
      </c>
      <c r="AE18" s="10">
        <v>642093</v>
      </c>
      <c r="AF18" s="10"/>
      <c r="AG18" s="10"/>
      <c r="AH18" s="10">
        <v>140772</v>
      </c>
      <c r="AI18" s="10">
        <v>140772</v>
      </c>
      <c r="AJ18" s="10">
        <v>381517</v>
      </c>
      <c r="AK18" s="10">
        <v>381517</v>
      </c>
      <c r="AL18" s="10"/>
      <c r="AM18" s="10"/>
      <c r="AN18" s="10"/>
      <c r="AO18" s="10"/>
      <c r="AP18" s="10">
        <v>-52173.129999999874</v>
      </c>
      <c r="AQ18" s="10">
        <v>1891685.14</v>
      </c>
      <c r="AR18" s="10">
        <v>5819403</v>
      </c>
      <c r="AS18" s="10">
        <v>5819403</v>
      </c>
      <c r="AT18" s="10">
        <v>-92226</v>
      </c>
      <c r="AU18" s="10">
        <v>6339934</v>
      </c>
      <c r="AV18" s="10">
        <v>-12</v>
      </c>
      <c r="AW18" s="10">
        <v>195</v>
      </c>
      <c r="AX18" s="10">
        <v>204669</v>
      </c>
      <c r="AY18" s="10">
        <v>204669</v>
      </c>
      <c r="AZ18" s="10"/>
      <c r="BA18" s="10"/>
      <c r="BB18" s="10"/>
      <c r="BC18" s="10"/>
      <c r="BD18" s="10">
        <v>-12049</v>
      </c>
      <c r="BE18" s="10">
        <v>454084</v>
      </c>
      <c r="BF18" s="10">
        <v>185090</v>
      </c>
      <c r="BG18" s="10">
        <v>185090</v>
      </c>
      <c r="BH18" s="10">
        <v>18538</v>
      </c>
      <c r="BI18" s="10">
        <v>18538</v>
      </c>
      <c r="BJ18" s="10"/>
      <c r="BK18" s="10"/>
      <c r="BL18" s="10">
        <v>37935</v>
      </c>
      <c r="BM18" s="10">
        <v>1850782</v>
      </c>
      <c r="BN18" s="10">
        <v>3666945</v>
      </c>
      <c r="BO18" s="10">
        <v>3666945</v>
      </c>
      <c r="BP18" s="10">
        <f>-1+3298</f>
        <v>3297</v>
      </c>
      <c r="BQ18" s="10">
        <f>31+36807</f>
        <v>36838</v>
      </c>
      <c r="BR18" s="85">
        <f t="shared" ref="BR18:BR22" si="2">SUM(B18+D18+F18+H18+J18+L18+N18+P18+R18+T18+V18+X18+Z18+AB18+AD18+AF18+AH18+AJ18+AL18+AN18+AP18+AR18+AT18+AV18+AX18+AZ18+BB18+BD18+BF18+BH18+BJ18+BL18+BN18+BP18)</f>
        <v>18442596.870000001</v>
      </c>
      <c r="BS18" s="85">
        <f t="shared" ref="BS18:BS22" si="3">SUM(C18+E18+G18+I18+K18+M18+O18+Q18+S18+U18+W18+Y18+AA18+AC18+AE18+AG18+AI18+AK18+AM18+AO18+AQ18+AS18+AU18+AW18+AY18+BA18+BC18+BE18+BG18+BI18+BK18+BM18+BO18+BQ18)</f>
        <v>30840070.420000002</v>
      </c>
    </row>
    <row r="19" spans="1:71" x14ac:dyDescent="0.25">
      <c r="A19" s="10" t="s">
        <v>291</v>
      </c>
      <c r="B19" s="10"/>
      <c r="C19" s="10"/>
      <c r="D19" s="10"/>
      <c r="E19" s="10"/>
      <c r="F19" s="10"/>
      <c r="G19" s="10"/>
      <c r="H19" s="10"/>
      <c r="I19" s="10"/>
      <c r="J19" s="10"/>
      <c r="K19" s="10">
        <v>697567</v>
      </c>
      <c r="L19" s="10"/>
      <c r="M19" s="10">
        <v>177448</v>
      </c>
      <c r="N19" s="10">
        <v>72434</v>
      </c>
      <c r="O19" s="10">
        <v>57775</v>
      </c>
      <c r="P19" s="10"/>
      <c r="Q19" s="10"/>
      <c r="R19" s="10">
        <v>5009</v>
      </c>
      <c r="S19" s="10">
        <v>591</v>
      </c>
      <c r="T19" s="10"/>
      <c r="U19" s="10"/>
      <c r="V19" s="10">
        <v>386980</v>
      </c>
      <c r="W19" s="10">
        <v>354102</v>
      </c>
      <c r="X19" s="10">
        <v>-1</v>
      </c>
      <c r="Y19" s="10">
        <v>46.44</v>
      </c>
      <c r="Z19" s="10">
        <f>-835528-1074322</f>
        <v>-1909850</v>
      </c>
      <c r="AA19" s="10">
        <f>-815629-957728</f>
        <v>-1773357</v>
      </c>
      <c r="AB19" s="10">
        <v>5535010</v>
      </c>
      <c r="AC19" s="10">
        <v>5507279</v>
      </c>
      <c r="AD19" s="10"/>
      <c r="AE19" s="10">
        <v>562250</v>
      </c>
      <c r="AF19" s="10"/>
      <c r="AG19" s="10"/>
      <c r="AH19" s="10">
        <v>204338</v>
      </c>
      <c r="AI19" s="10">
        <v>231338</v>
      </c>
      <c r="AJ19" s="10">
        <v>-314468</v>
      </c>
      <c r="AK19" s="10">
        <v>-365348</v>
      </c>
      <c r="AL19" s="10"/>
      <c r="AM19" s="10"/>
      <c r="AN19" s="10"/>
      <c r="AO19" s="10"/>
      <c r="AP19" s="10">
        <v>0</v>
      </c>
      <c r="AQ19" s="10">
        <v>1928950.92</v>
      </c>
      <c r="AR19" s="10">
        <v>6423767</v>
      </c>
      <c r="AS19" s="10">
        <v>6423767</v>
      </c>
      <c r="AT19" s="10">
        <v>0</v>
      </c>
      <c r="AU19" s="10">
        <v>6317377</v>
      </c>
      <c r="AV19" s="10"/>
      <c r="AW19" s="10">
        <v>221</v>
      </c>
      <c r="AX19" s="10">
        <v>202926</v>
      </c>
      <c r="AY19" s="10">
        <v>205550</v>
      </c>
      <c r="AZ19" s="10"/>
      <c r="BA19" s="10"/>
      <c r="BB19" s="10"/>
      <c r="BC19" s="10"/>
      <c r="BD19" s="10"/>
      <c r="BE19" s="10">
        <v>-403621</v>
      </c>
      <c r="BF19" s="10">
        <v>184767</v>
      </c>
      <c r="BG19" s="10">
        <v>167081</v>
      </c>
      <c r="BH19" s="10">
        <v>21076</v>
      </c>
      <c r="BI19" s="10">
        <v>18934</v>
      </c>
      <c r="BJ19" s="10"/>
      <c r="BK19" s="10"/>
      <c r="BL19" s="10"/>
      <c r="BM19" s="10">
        <v>1637597</v>
      </c>
      <c r="BN19" s="10">
        <v>4256703</v>
      </c>
      <c r="BO19" s="10">
        <v>4288452</v>
      </c>
      <c r="BP19" s="10"/>
      <c r="BQ19" s="10">
        <f>27+24432</f>
        <v>24459</v>
      </c>
      <c r="BR19" s="85">
        <f t="shared" si="2"/>
        <v>15068691</v>
      </c>
      <c r="BS19" s="85">
        <f t="shared" si="3"/>
        <v>26058459.359999999</v>
      </c>
    </row>
    <row r="20" spans="1:71" x14ac:dyDescent="0.25">
      <c r="A20" s="26" t="s">
        <v>306</v>
      </c>
      <c r="B20" s="10"/>
      <c r="C20" s="10"/>
      <c r="D20" s="10"/>
      <c r="E20" s="10"/>
      <c r="F20" s="10"/>
      <c r="G20" s="10"/>
      <c r="H20" s="10"/>
      <c r="I20" s="10"/>
      <c r="J20" s="10">
        <v>213443</v>
      </c>
      <c r="K20" s="10">
        <v>794079</v>
      </c>
      <c r="L20" s="10"/>
      <c r="M20" s="10"/>
      <c r="N20" s="10">
        <v>135963</v>
      </c>
      <c r="O20" s="10">
        <v>489672</v>
      </c>
      <c r="P20" s="10"/>
      <c r="Q20" s="10"/>
      <c r="R20" s="10">
        <v>2822</v>
      </c>
      <c r="S20" s="10">
        <v>8528</v>
      </c>
      <c r="T20" s="10"/>
      <c r="U20" s="10"/>
      <c r="V20" s="10"/>
      <c r="W20" s="10"/>
      <c r="X20" s="10"/>
      <c r="Y20" s="10"/>
      <c r="Z20" s="10">
        <f>18313+388103</f>
        <v>406416</v>
      </c>
      <c r="AA20" s="10">
        <f>42613+1043884</f>
        <v>1086497</v>
      </c>
      <c r="AB20" s="10">
        <v>1200153</v>
      </c>
      <c r="AC20" s="10">
        <v>2324481</v>
      </c>
      <c r="AD20" s="10">
        <v>252582</v>
      </c>
      <c r="AE20" s="10">
        <v>808809</v>
      </c>
      <c r="AF20" s="10"/>
      <c r="AG20" s="10"/>
      <c r="AH20" s="10">
        <v>8976</v>
      </c>
      <c r="AI20" s="10">
        <v>77851</v>
      </c>
      <c r="AJ20" s="10">
        <v>90266</v>
      </c>
      <c r="AK20" s="10">
        <v>100161</v>
      </c>
      <c r="AL20" s="10"/>
      <c r="AM20" s="10"/>
      <c r="AN20" s="10"/>
      <c r="AO20" s="10"/>
      <c r="AP20" s="10"/>
      <c r="AQ20" s="10"/>
      <c r="AR20" s="10">
        <v>140437</v>
      </c>
      <c r="AS20" s="10">
        <v>1985164</v>
      </c>
      <c r="AT20" s="10">
        <v>522475</v>
      </c>
      <c r="AU20" s="10">
        <v>2047980</v>
      </c>
      <c r="AV20" s="10">
        <v>-12</v>
      </c>
      <c r="AW20" s="10">
        <v>-26</v>
      </c>
      <c r="AX20" s="10"/>
      <c r="AY20" s="10"/>
      <c r="AZ20" s="10"/>
      <c r="BA20" s="10"/>
      <c r="BB20" s="10"/>
      <c r="BC20" s="10"/>
      <c r="BD20" s="10">
        <v>32706</v>
      </c>
      <c r="BE20" s="10">
        <v>226794</v>
      </c>
      <c r="BF20" s="10"/>
      <c r="BG20" s="10"/>
      <c r="BH20" s="10"/>
      <c r="BI20" s="10"/>
      <c r="BJ20" s="10"/>
      <c r="BK20" s="10"/>
      <c r="BL20" s="10">
        <v>588077</v>
      </c>
      <c r="BM20" s="10">
        <v>1693802</v>
      </c>
      <c r="BN20" s="10">
        <v>-206871</v>
      </c>
      <c r="BO20" s="10">
        <v>1517306</v>
      </c>
      <c r="BP20" s="10">
        <f>-1+11794</f>
        <v>11793</v>
      </c>
      <c r="BQ20" s="10">
        <f>323+55889</f>
        <v>56212</v>
      </c>
      <c r="BR20" s="85">
        <f t="shared" si="2"/>
        <v>3399226</v>
      </c>
      <c r="BS20" s="85">
        <f t="shared" si="3"/>
        <v>13217310</v>
      </c>
    </row>
    <row r="21" spans="1:71" x14ac:dyDescent="0.25">
      <c r="A21" s="26" t="s">
        <v>289</v>
      </c>
      <c r="B21" s="10"/>
      <c r="C21" s="10"/>
      <c r="D21" s="10"/>
      <c r="E21" s="10"/>
      <c r="F21" s="10"/>
      <c r="G21" s="10"/>
      <c r="H21" s="10"/>
      <c r="I21" s="10"/>
      <c r="J21" s="10"/>
      <c r="K21" s="10">
        <v>5704</v>
      </c>
      <c r="L21" s="10">
        <v>5048</v>
      </c>
      <c r="M21" s="10">
        <v>12449</v>
      </c>
      <c r="N21" s="10"/>
      <c r="O21" s="10"/>
      <c r="P21" s="10"/>
      <c r="Q21" s="10"/>
      <c r="R21" s="10"/>
      <c r="S21" s="10"/>
      <c r="T21" s="10"/>
      <c r="U21" s="10"/>
      <c r="V21" s="10">
        <v>4688</v>
      </c>
      <c r="W21" s="10">
        <v>8218</v>
      </c>
      <c r="X21" s="10"/>
      <c r="Y21" s="10"/>
      <c r="Z21" s="10">
        <v>38818</v>
      </c>
      <c r="AA21" s="10">
        <v>68387</v>
      </c>
      <c r="AB21" s="10">
        <v>10685</v>
      </c>
      <c r="AC21" s="10">
        <v>36534</v>
      </c>
      <c r="AD21" s="10">
        <v>64</v>
      </c>
      <c r="AE21" s="10">
        <v>156</v>
      </c>
      <c r="AF21" s="10"/>
      <c r="AG21" s="10"/>
      <c r="AH21" s="10"/>
      <c r="AI21" s="10"/>
      <c r="AJ21" s="10">
        <v>4114</v>
      </c>
      <c r="AK21" s="10">
        <v>68783</v>
      </c>
      <c r="AL21" s="10"/>
      <c r="AM21" s="10"/>
      <c r="AN21" s="10"/>
      <c r="AO21" s="10"/>
      <c r="AP21" s="10">
        <v>19184.007000000001</v>
      </c>
      <c r="AQ21" s="10">
        <v>86888.672999999995</v>
      </c>
      <c r="AR21" s="10">
        <v>25870</v>
      </c>
      <c r="AS21" s="10">
        <v>269650</v>
      </c>
      <c r="AT21" s="10">
        <v>8898</v>
      </c>
      <c r="AU21" s="10">
        <v>236496</v>
      </c>
      <c r="AV21" s="10"/>
      <c r="AW21" s="10"/>
      <c r="AX21" s="10"/>
      <c r="AY21" s="10"/>
      <c r="AZ21" s="10"/>
      <c r="BA21" s="10"/>
      <c r="BB21" s="10"/>
      <c r="BC21" s="10"/>
      <c r="BD21" s="10">
        <v>9652</v>
      </c>
      <c r="BE21" s="10">
        <v>9653</v>
      </c>
      <c r="BF21" s="10"/>
      <c r="BG21" s="10"/>
      <c r="BH21" s="10"/>
      <c r="BI21" s="10"/>
      <c r="BJ21" s="10"/>
      <c r="BK21" s="10"/>
      <c r="BL21" s="10"/>
      <c r="BM21" s="10">
        <v>17149</v>
      </c>
      <c r="BN21" s="10">
        <v>31723</v>
      </c>
      <c r="BO21" s="10">
        <v>193769</v>
      </c>
      <c r="BP21" s="10"/>
      <c r="BQ21" s="10"/>
      <c r="BR21" s="85">
        <f t="shared" si="2"/>
        <v>158744.00699999998</v>
      </c>
      <c r="BS21" s="85">
        <f t="shared" si="3"/>
        <v>1013836.673</v>
      </c>
    </row>
    <row r="22" spans="1:71" x14ac:dyDescent="0.25">
      <c r="A22" s="26" t="s">
        <v>290</v>
      </c>
      <c r="B22" s="10"/>
      <c r="C22" s="10"/>
      <c r="D22" s="10"/>
      <c r="E22" s="10"/>
      <c r="F22" s="10"/>
      <c r="G22" s="10"/>
      <c r="H22" s="10"/>
      <c r="I22" s="10"/>
      <c r="J22" s="10">
        <v>77902</v>
      </c>
      <c r="K22" s="10">
        <v>193820</v>
      </c>
      <c r="L22" s="10">
        <v>26678</v>
      </c>
      <c r="M22" s="10">
        <v>107134</v>
      </c>
      <c r="N22" s="10">
        <v>111712</v>
      </c>
      <c r="O22" s="10">
        <v>399897</v>
      </c>
      <c r="P22" s="10"/>
      <c r="Q22" s="10"/>
      <c r="R22" s="10">
        <v>2650</v>
      </c>
      <c r="S22" s="10">
        <v>8252</v>
      </c>
      <c r="T22" s="10"/>
      <c r="U22" s="10"/>
      <c r="V22" s="10">
        <v>18913</v>
      </c>
      <c r="W22" s="10">
        <v>58573</v>
      </c>
      <c r="X22" s="10"/>
      <c r="Y22" s="10"/>
      <c r="Z22" s="10">
        <f>-4576-187309</f>
        <v>-191885</v>
      </c>
      <c r="AA22" s="10">
        <f>-8970-481744</f>
        <v>-490714</v>
      </c>
      <c r="AB22" s="10">
        <v>461169</v>
      </c>
      <c r="AC22" s="10">
        <v>744806</v>
      </c>
      <c r="AD22" s="10">
        <v>178833</v>
      </c>
      <c r="AE22" s="10">
        <v>446945</v>
      </c>
      <c r="AF22" s="10"/>
      <c r="AG22" s="10"/>
      <c r="AH22" s="10">
        <v>5837</v>
      </c>
      <c r="AI22" s="10">
        <v>24294</v>
      </c>
      <c r="AJ22" s="10">
        <v>-26095</v>
      </c>
      <c r="AK22" s="10">
        <v>-135736</v>
      </c>
      <c r="AL22" s="10"/>
      <c r="AM22" s="10"/>
      <c r="AN22" s="10"/>
      <c r="AO22" s="10"/>
      <c r="AP22" s="10">
        <v>55753.221999999987</v>
      </c>
      <c r="AQ22" s="10">
        <v>154672.41800000001</v>
      </c>
      <c r="AR22" s="10">
        <v>100763</v>
      </c>
      <c r="AS22" s="10">
        <v>618959</v>
      </c>
      <c r="AT22" s="10">
        <v>216630</v>
      </c>
      <c r="AU22" s="10">
        <v>485326</v>
      </c>
      <c r="AV22" s="10"/>
      <c r="AW22" s="10"/>
      <c r="AX22" s="10">
        <v>197689</v>
      </c>
      <c r="AY22" s="10">
        <v>710917</v>
      </c>
      <c r="AZ22" s="10"/>
      <c r="BA22" s="10"/>
      <c r="BB22" s="10"/>
      <c r="BC22" s="10"/>
      <c r="BD22" s="10">
        <v>-26683</v>
      </c>
      <c r="BE22" s="10">
        <v>-105326</v>
      </c>
      <c r="BF22" s="10">
        <v>2688</v>
      </c>
      <c r="BG22" s="10">
        <v>6577</v>
      </c>
      <c r="BH22" s="10">
        <v>907</v>
      </c>
      <c r="BI22" s="10">
        <v>1008</v>
      </c>
      <c r="BJ22" s="10"/>
      <c r="BK22" s="10"/>
      <c r="BL22" s="10">
        <v>82290</v>
      </c>
      <c r="BM22" s="10">
        <v>66470</v>
      </c>
      <c r="BN22" s="10">
        <v>-12112</v>
      </c>
      <c r="BO22" s="10">
        <v>805064</v>
      </c>
      <c r="BP22" s="10">
        <v>3003</v>
      </c>
      <c r="BQ22" s="10">
        <f>317+22546</f>
        <v>22863</v>
      </c>
      <c r="BR22" s="85">
        <f t="shared" si="2"/>
        <v>1286642.2220000001</v>
      </c>
      <c r="BS22" s="85">
        <f t="shared" si="3"/>
        <v>4123801.4180000001</v>
      </c>
    </row>
    <row r="23" spans="1:71" x14ac:dyDescent="0.25">
      <c r="A23" s="26" t="s">
        <v>286</v>
      </c>
      <c r="B23" s="10"/>
      <c r="C23" s="10"/>
      <c r="D23" s="10"/>
      <c r="E23" s="10"/>
      <c r="F23" s="10"/>
      <c r="G23" s="10"/>
      <c r="H23" s="10"/>
      <c r="I23" s="10"/>
      <c r="J23" s="10">
        <v>135541</v>
      </c>
      <c r="K23" s="10">
        <v>605963</v>
      </c>
      <c r="L23" s="10">
        <v>180632</v>
      </c>
      <c r="M23" s="10">
        <v>422689</v>
      </c>
      <c r="N23" s="10">
        <v>24251</v>
      </c>
      <c r="O23" s="10">
        <v>89775</v>
      </c>
      <c r="P23" s="10"/>
      <c r="Q23" s="10"/>
      <c r="R23" s="10">
        <v>172</v>
      </c>
      <c r="S23" s="10">
        <v>276</v>
      </c>
      <c r="T23" s="10"/>
      <c r="U23" s="10"/>
      <c r="V23" s="10">
        <v>64864</v>
      </c>
      <c r="W23" s="10">
        <v>215798</v>
      </c>
      <c r="X23" s="10">
        <v>-727</v>
      </c>
      <c r="Y23" s="10">
        <v>173</v>
      </c>
      <c r="Z23" s="10">
        <f>412+181636</f>
        <v>182048</v>
      </c>
      <c r="AA23" s="10">
        <f>978+497525</f>
        <v>498503</v>
      </c>
      <c r="AB23" s="10">
        <v>437678</v>
      </c>
      <c r="AC23" s="10">
        <v>1199835</v>
      </c>
      <c r="AD23" s="10">
        <v>73813</v>
      </c>
      <c r="AE23" s="10">
        <v>362020</v>
      </c>
      <c r="AF23" s="10"/>
      <c r="AG23" s="10"/>
      <c r="AH23" s="10">
        <v>5844</v>
      </c>
      <c r="AI23" s="10">
        <v>75086</v>
      </c>
      <c r="AJ23" s="10">
        <v>6178</v>
      </c>
      <c r="AK23" s="10">
        <v>12053</v>
      </c>
      <c r="AL23" s="10"/>
      <c r="AM23" s="10"/>
      <c r="AN23" s="10"/>
      <c r="AO23" s="10"/>
      <c r="AP23" s="10">
        <v>156591.34300000017</v>
      </c>
      <c r="AQ23" s="10">
        <v>652714.9709999999</v>
      </c>
      <c r="AR23" s="10">
        <v>289682</v>
      </c>
      <c r="AS23" s="10">
        <v>1859994</v>
      </c>
      <c r="AT23" s="10">
        <v>314743</v>
      </c>
      <c r="AU23" s="10">
        <v>1799150</v>
      </c>
      <c r="AV23" s="10">
        <v>-12</v>
      </c>
      <c r="AW23" s="10">
        <v>-26</v>
      </c>
      <c r="AX23" s="10">
        <v>22705</v>
      </c>
      <c r="AY23" s="10">
        <v>52780</v>
      </c>
      <c r="AZ23" s="10"/>
      <c r="BA23" s="10"/>
      <c r="BB23" s="10"/>
      <c r="BC23" s="10"/>
      <c r="BD23" s="10">
        <v>25679</v>
      </c>
      <c r="BE23" s="10">
        <v>94444</v>
      </c>
      <c r="BF23" s="10">
        <v>34247</v>
      </c>
      <c r="BG23" s="10">
        <v>110724</v>
      </c>
      <c r="BH23" s="10">
        <v>-692</v>
      </c>
      <c r="BI23" s="10">
        <v>3344</v>
      </c>
      <c r="BJ23" s="10"/>
      <c r="BK23" s="10"/>
      <c r="BL23" s="10">
        <v>505787</v>
      </c>
      <c r="BM23" s="10">
        <v>1644481</v>
      </c>
      <c r="BN23" s="10">
        <v>-163036</v>
      </c>
      <c r="BO23" s="10">
        <v>906011</v>
      </c>
      <c r="BP23" s="10">
        <f>-1+8791</f>
        <v>8790</v>
      </c>
      <c r="BQ23" s="10">
        <f>6+33343</f>
        <v>33349</v>
      </c>
      <c r="BR23" s="85">
        <f>SUM(B23+D23+F23+H23+J23+L23+N23+P23+R23+T23+V23+X23+Z23+AB23+AD23+AF23+AH23+AJ23+AL23+AN23+AP23+AR23+AT23+AV23+AX23+AZ23+BB23+BD23+BF23+BH23+BJ23+BL23+BN23+BP23)</f>
        <v>2304778.3430000003</v>
      </c>
      <c r="BS23" s="85">
        <f>SUM(C23+E23+G23+I23+K23+M23+O23+Q23+S23+U23+W23+Y23+AA23+AC23+AE23+AG23+AI23+AK23+AM23+AO23+AQ23+AS23+AU23+AW23+AY23+BA23+BC23+BE23+BG23+BI23+BK23+BM23+BO23+BQ23)</f>
        <v>10639136.971000001</v>
      </c>
    </row>
    <row r="24" spans="1:71" x14ac:dyDescent="0.25">
      <c r="A24" s="18"/>
    </row>
    <row r="25" spans="1:71" x14ac:dyDescent="0.25">
      <c r="A25" s="33" t="s">
        <v>231</v>
      </c>
    </row>
    <row r="26" spans="1:71" x14ac:dyDescent="0.25">
      <c r="A26" s="3" t="s">
        <v>0</v>
      </c>
      <c r="B26" s="107" t="s">
        <v>1</v>
      </c>
      <c r="C26" s="108"/>
      <c r="D26" s="107" t="s">
        <v>2</v>
      </c>
      <c r="E26" s="108"/>
      <c r="F26" s="107" t="s">
        <v>3</v>
      </c>
      <c r="G26" s="108"/>
      <c r="H26" s="107" t="s">
        <v>307</v>
      </c>
      <c r="I26" s="108"/>
      <c r="J26" s="107" t="s">
        <v>5</v>
      </c>
      <c r="K26" s="108"/>
      <c r="L26" s="107" t="s">
        <v>6</v>
      </c>
      <c r="M26" s="108"/>
      <c r="N26" s="107" t="s">
        <v>7</v>
      </c>
      <c r="O26" s="108"/>
      <c r="P26" s="107" t="s">
        <v>8</v>
      </c>
      <c r="Q26" s="108"/>
      <c r="R26" s="107" t="s">
        <v>9</v>
      </c>
      <c r="S26" s="108"/>
      <c r="T26" s="107" t="s">
        <v>10</v>
      </c>
      <c r="U26" s="108"/>
      <c r="V26" s="107" t="s">
        <v>11</v>
      </c>
      <c r="W26" s="108"/>
      <c r="X26" s="107" t="s">
        <v>12</v>
      </c>
      <c r="Y26" s="108"/>
      <c r="Z26" s="107" t="s">
        <v>13</v>
      </c>
      <c r="AA26" s="108"/>
      <c r="AB26" s="107" t="s">
        <v>14</v>
      </c>
      <c r="AC26" s="108"/>
      <c r="AD26" s="107" t="s">
        <v>15</v>
      </c>
      <c r="AE26" s="108"/>
      <c r="AF26" s="107" t="s">
        <v>16</v>
      </c>
      <c r="AG26" s="108"/>
      <c r="AH26" s="107" t="s">
        <v>17</v>
      </c>
      <c r="AI26" s="108"/>
      <c r="AJ26" s="107" t="s">
        <v>18</v>
      </c>
      <c r="AK26" s="108"/>
      <c r="AL26" s="107" t="s">
        <v>296</v>
      </c>
      <c r="AM26" s="108"/>
      <c r="AN26" s="107" t="s">
        <v>19</v>
      </c>
      <c r="AO26" s="108"/>
      <c r="AP26" s="107" t="s">
        <v>20</v>
      </c>
      <c r="AQ26" s="108"/>
      <c r="AR26" s="107" t="s">
        <v>21</v>
      </c>
      <c r="AS26" s="108"/>
      <c r="AT26" s="107" t="s">
        <v>22</v>
      </c>
      <c r="AU26" s="108"/>
      <c r="AV26" s="107" t="s">
        <v>23</v>
      </c>
      <c r="AW26" s="108"/>
      <c r="AX26" s="107" t="s">
        <v>24</v>
      </c>
      <c r="AY26" s="108"/>
      <c r="AZ26" s="107" t="s">
        <v>25</v>
      </c>
      <c r="BA26" s="108"/>
      <c r="BB26" s="107" t="s">
        <v>26</v>
      </c>
      <c r="BC26" s="108"/>
      <c r="BD26" s="107" t="s">
        <v>27</v>
      </c>
      <c r="BE26" s="108"/>
      <c r="BF26" s="107" t="s">
        <v>28</v>
      </c>
      <c r="BG26" s="108"/>
      <c r="BH26" s="107" t="s">
        <v>29</v>
      </c>
      <c r="BI26" s="108"/>
      <c r="BJ26" s="107" t="s">
        <v>30</v>
      </c>
      <c r="BK26" s="108"/>
      <c r="BL26" s="107" t="s">
        <v>31</v>
      </c>
      <c r="BM26" s="108"/>
      <c r="BN26" s="111" t="s">
        <v>32</v>
      </c>
      <c r="BO26" s="112"/>
      <c r="BP26" s="107" t="s">
        <v>33</v>
      </c>
      <c r="BQ26" s="108"/>
      <c r="BR26" s="109" t="s">
        <v>34</v>
      </c>
      <c r="BS26" s="110"/>
    </row>
    <row r="27" spans="1:71" ht="30" x14ac:dyDescent="0.25">
      <c r="A27" s="3"/>
      <c r="B27" s="66" t="s">
        <v>294</v>
      </c>
      <c r="C27" s="67" t="s">
        <v>295</v>
      </c>
      <c r="D27" s="66" t="s">
        <v>294</v>
      </c>
      <c r="E27" s="67" t="s">
        <v>295</v>
      </c>
      <c r="F27" s="66" t="s">
        <v>294</v>
      </c>
      <c r="G27" s="67" t="s">
        <v>295</v>
      </c>
      <c r="H27" s="66" t="s">
        <v>294</v>
      </c>
      <c r="I27" s="67" t="s">
        <v>295</v>
      </c>
      <c r="J27" s="66" t="s">
        <v>294</v>
      </c>
      <c r="K27" s="67" t="s">
        <v>295</v>
      </c>
      <c r="L27" s="66" t="s">
        <v>294</v>
      </c>
      <c r="M27" s="67" t="s">
        <v>295</v>
      </c>
      <c r="N27" s="66" t="s">
        <v>294</v>
      </c>
      <c r="O27" s="67" t="s">
        <v>295</v>
      </c>
      <c r="P27" s="66" t="s">
        <v>294</v>
      </c>
      <c r="Q27" s="67" t="s">
        <v>295</v>
      </c>
      <c r="R27" s="66" t="s">
        <v>294</v>
      </c>
      <c r="S27" s="67" t="s">
        <v>295</v>
      </c>
      <c r="T27" s="66" t="s">
        <v>294</v>
      </c>
      <c r="U27" s="67" t="s">
        <v>295</v>
      </c>
      <c r="V27" s="66" t="s">
        <v>294</v>
      </c>
      <c r="W27" s="67" t="s">
        <v>295</v>
      </c>
      <c r="X27" s="66" t="s">
        <v>294</v>
      </c>
      <c r="Y27" s="67" t="s">
        <v>295</v>
      </c>
      <c r="Z27" s="66" t="s">
        <v>294</v>
      </c>
      <c r="AA27" s="67" t="s">
        <v>295</v>
      </c>
      <c r="AB27" s="66" t="s">
        <v>294</v>
      </c>
      <c r="AC27" s="67" t="s">
        <v>295</v>
      </c>
      <c r="AD27" s="66" t="s">
        <v>294</v>
      </c>
      <c r="AE27" s="67" t="s">
        <v>295</v>
      </c>
      <c r="AF27" s="66" t="s">
        <v>294</v>
      </c>
      <c r="AG27" s="67" t="s">
        <v>295</v>
      </c>
      <c r="AH27" s="66" t="s">
        <v>294</v>
      </c>
      <c r="AI27" s="67" t="s">
        <v>295</v>
      </c>
      <c r="AJ27" s="66" t="s">
        <v>294</v>
      </c>
      <c r="AK27" s="67" t="s">
        <v>295</v>
      </c>
      <c r="AL27" s="66" t="s">
        <v>294</v>
      </c>
      <c r="AM27" s="67" t="s">
        <v>295</v>
      </c>
      <c r="AN27" s="66" t="s">
        <v>294</v>
      </c>
      <c r="AO27" s="67" t="s">
        <v>295</v>
      </c>
      <c r="AP27" s="66" t="s">
        <v>294</v>
      </c>
      <c r="AQ27" s="67" t="s">
        <v>295</v>
      </c>
      <c r="AR27" s="66" t="s">
        <v>294</v>
      </c>
      <c r="AS27" s="67" t="s">
        <v>295</v>
      </c>
      <c r="AT27" s="66" t="s">
        <v>294</v>
      </c>
      <c r="AU27" s="67" t="s">
        <v>295</v>
      </c>
      <c r="AV27" s="66" t="s">
        <v>294</v>
      </c>
      <c r="AW27" s="67" t="s">
        <v>295</v>
      </c>
      <c r="AX27" s="66" t="s">
        <v>294</v>
      </c>
      <c r="AY27" s="67" t="s">
        <v>295</v>
      </c>
      <c r="AZ27" s="66" t="s">
        <v>294</v>
      </c>
      <c r="BA27" s="67" t="s">
        <v>295</v>
      </c>
      <c r="BB27" s="66" t="s">
        <v>294</v>
      </c>
      <c r="BC27" s="67" t="s">
        <v>295</v>
      </c>
      <c r="BD27" s="66" t="s">
        <v>294</v>
      </c>
      <c r="BE27" s="67" t="s">
        <v>295</v>
      </c>
      <c r="BF27" s="66" t="s">
        <v>294</v>
      </c>
      <c r="BG27" s="67" t="s">
        <v>295</v>
      </c>
      <c r="BH27" s="66" t="s">
        <v>294</v>
      </c>
      <c r="BI27" s="67" t="s">
        <v>295</v>
      </c>
      <c r="BJ27" s="66" t="s">
        <v>294</v>
      </c>
      <c r="BK27" s="67" t="s">
        <v>295</v>
      </c>
      <c r="BL27" s="66" t="s">
        <v>294</v>
      </c>
      <c r="BM27" s="67" t="s">
        <v>295</v>
      </c>
      <c r="BN27" s="66" t="s">
        <v>294</v>
      </c>
      <c r="BO27" s="67" t="s">
        <v>295</v>
      </c>
      <c r="BP27" s="66" t="s">
        <v>294</v>
      </c>
      <c r="BQ27" s="67" t="s">
        <v>295</v>
      </c>
      <c r="BR27" s="66" t="s">
        <v>294</v>
      </c>
      <c r="BS27" s="67" t="s">
        <v>295</v>
      </c>
    </row>
    <row r="28" spans="1:71" x14ac:dyDescent="0.25">
      <c r="A28" s="26" t="s">
        <v>241</v>
      </c>
      <c r="B28" s="10">
        <v>225456</v>
      </c>
      <c r="C28" s="10">
        <v>482654</v>
      </c>
      <c r="D28" s="10"/>
      <c r="E28" s="10"/>
      <c r="F28" s="10"/>
      <c r="G28" s="10"/>
      <c r="H28" s="10"/>
      <c r="I28" s="10"/>
      <c r="J28" s="10">
        <v>5850715</v>
      </c>
      <c r="K28" s="10">
        <v>15048409</v>
      </c>
      <c r="L28" s="10">
        <v>2304741</v>
      </c>
      <c r="M28" s="10">
        <v>5718948</v>
      </c>
      <c r="N28" s="10">
        <v>3576810</v>
      </c>
      <c r="O28" s="10">
        <v>10160267</v>
      </c>
      <c r="P28" s="10">
        <v>42403</v>
      </c>
      <c r="Q28" s="10">
        <v>90301</v>
      </c>
      <c r="R28" s="10">
        <v>33725</v>
      </c>
      <c r="S28" s="10">
        <v>40856</v>
      </c>
      <c r="T28" s="10"/>
      <c r="U28" s="10"/>
      <c r="V28" s="10">
        <v>1757404</v>
      </c>
      <c r="W28" s="10">
        <v>4204122</v>
      </c>
      <c r="X28" s="10">
        <v>758119</v>
      </c>
      <c r="Y28" s="10">
        <v>1765152</v>
      </c>
      <c r="Z28" s="10">
        <f>972896+3326757</f>
        <v>4299653</v>
      </c>
      <c r="AA28" s="10">
        <f>1905283+9915742</f>
        <v>11821025</v>
      </c>
      <c r="AB28" s="10">
        <v>9133592</v>
      </c>
      <c r="AC28" s="10">
        <v>26350878</v>
      </c>
      <c r="AD28" s="10">
        <v>5609636</v>
      </c>
      <c r="AE28" s="10">
        <v>15510598</v>
      </c>
      <c r="AF28" s="10">
        <v>183673</v>
      </c>
      <c r="AG28" s="10">
        <v>507179</v>
      </c>
      <c r="AH28" s="10">
        <f>838406+104728</f>
        <v>943134</v>
      </c>
      <c r="AI28" s="10">
        <f>2318759+248981</f>
        <v>2567740</v>
      </c>
      <c r="AJ28" s="10">
        <v>646626</v>
      </c>
      <c r="AK28" s="10">
        <v>1632179</v>
      </c>
      <c r="AL28" s="10"/>
      <c r="AM28" s="10"/>
      <c r="AN28" s="10"/>
      <c r="AO28" s="10"/>
      <c r="AP28" s="10">
        <v>12011980.907</v>
      </c>
      <c r="AQ28" s="10">
        <v>34237226.714000002</v>
      </c>
      <c r="AR28" s="10">
        <v>17174054</v>
      </c>
      <c r="AS28" s="10">
        <v>49294793</v>
      </c>
      <c r="AT28" s="10">
        <v>8073508</v>
      </c>
      <c r="AU28" s="10">
        <v>22590880</v>
      </c>
      <c r="AV28" s="10">
        <f>489+25139</f>
        <v>25628</v>
      </c>
      <c r="AW28" s="10">
        <f>1426+55100</f>
        <v>56526</v>
      </c>
      <c r="AX28" s="10">
        <v>3854076</v>
      </c>
      <c r="AY28" s="10">
        <v>12293276</v>
      </c>
      <c r="AZ28" s="10"/>
      <c r="BA28" s="10"/>
      <c r="BB28" s="10"/>
      <c r="BC28" s="10"/>
      <c r="BD28" s="10">
        <v>3279585</v>
      </c>
      <c r="BE28" s="10">
        <v>9617579</v>
      </c>
      <c r="BF28" s="10">
        <v>1753330</v>
      </c>
      <c r="BG28" s="10">
        <v>5051377</v>
      </c>
      <c r="BH28" s="10">
        <v>2605373</v>
      </c>
      <c r="BI28" s="10">
        <v>7208552</v>
      </c>
      <c r="BJ28" s="10"/>
      <c r="BK28" s="10"/>
      <c r="BL28" s="10">
        <v>4445029</v>
      </c>
      <c r="BM28" s="10">
        <v>11845509</v>
      </c>
      <c r="BN28" s="10">
        <v>11020633</v>
      </c>
      <c r="BO28" s="10">
        <v>30848458</v>
      </c>
      <c r="BP28" s="10">
        <f>838540+304231</f>
        <v>1142771</v>
      </c>
      <c r="BQ28" s="10">
        <f>2199312+722164</f>
        <v>2921476</v>
      </c>
      <c r="BR28" s="85">
        <f>SUM(B28+D28+F28+H28+J28+L28+N28+P28+R28+T28+V28+X28+Z28+AB28+AD28+AF28+AH28+AJ28+AL28+AN28+AP28+AR28+AT28+AV28+AX28+AZ28+BB28+BD28+BF28+BH28+BJ28+BL28+BN28+BP28)</f>
        <v>100751654.90700001</v>
      </c>
      <c r="BS28" s="85">
        <f>SUM(C28+E28+G28+I28+K28+M28+O28+Q28+S28+U28+W28+Y28+AA28+AC28+AE28+AG28+AI28+AK28+AM28+AO28+AQ28+AS28+AU28+AW28+AY28+BA28+BC28+BE28+BG28+BI28+BK28+BM28+BO28+BQ28)</f>
        <v>281865960.71399999</v>
      </c>
    </row>
    <row r="29" spans="1:71" x14ac:dyDescent="0.25">
      <c r="A29" s="10" t="s">
        <v>292</v>
      </c>
      <c r="B29" s="10">
        <v>494353</v>
      </c>
      <c r="C29" s="10">
        <v>494353</v>
      </c>
      <c r="D29" s="10"/>
      <c r="E29" s="10"/>
      <c r="F29" s="10"/>
      <c r="G29" s="10"/>
      <c r="H29" s="10"/>
      <c r="I29" s="10"/>
      <c r="J29" s="10">
        <v>3497744</v>
      </c>
      <c r="K29" s="10">
        <v>67978888</v>
      </c>
      <c r="L29" s="10">
        <v>598489</v>
      </c>
      <c r="M29" s="10">
        <v>20316634</v>
      </c>
      <c r="N29" s="10">
        <v>49285781</v>
      </c>
      <c r="O29" s="10">
        <v>49285781</v>
      </c>
      <c r="P29" s="10">
        <v>434569</v>
      </c>
      <c r="Q29" s="10">
        <v>434569</v>
      </c>
      <c r="R29" s="10">
        <v>272721</v>
      </c>
      <c r="S29" s="10">
        <v>272721</v>
      </c>
      <c r="T29" s="10"/>
      <c r="U29" s="10"/>
      <c r="V29" s="10">
        <v>16796402</v>
      </c>
      <c r="W29" s="10">
        <v>16796402</v>
      </c>
      <c r="X29" s="10">
        <v>1848594</v>
      </c>
      <c r="Y29" s="10">
        <v>6793909</v>
      </c>
      <c r="Z29" s="10">
        <f>36842977+2881312</f>
        <v>39724289</v>
      </c>
      <c r="AA29" s="10">
        <f>36842977+2881312</f>
        <v>39724289</v>
      </c>
      <c r="AB29" s="10">
        <v>102070739</v>
      </c>
      <c r="AC29" s="10">
        <v>102070739</v>
      </c>
      <c r="AD29" s="10">
        <v>1547024</v>
      </c>
      <c r="AE29" s="10">
        <v>41950838</v>
      </c>
      <c r="AF29" s="10">
        <v>1972349</v>
      </c>
      <c r="AG29" s="10">
        <v>1972349</v>
      </c>
      <c r="AH29" s="10">
        <f>665765+7521882</f>
        <v>8187647</v>
      </c>
      <c r="AI29" s="10">
        <f>665765+7521882</f>
        <v>8187647</v>
      </c>
      <c r="AJ29" s="10">
        <v>13212112</v>
      </c>
      <c r="AK29" s="10">
        <v>13212112</v>
      </c>
      <c r="AL29" s="10"/>
      <c r="AM29" s="10"/>
      <c r="AN29" s="10"/>
      <c r="AO29" s="10"/>
      <c r="AP29" s="10">
        <v>5189079.6705403803</v>
      </c>
      <c r="AQ29" s="10">
        <v>132379331.97600001</v>
      </c>
      <c r="AR29" s="10">
        <v>191238340</v>
      </c>
      <c r="AS29" s="10">
        <v>191238340</v>
      </c>
      <c r="AT29" s="10">
        <v>2098571</v>
      </c>
      <c r="AU29" s="10">
        <v>111220851</v>
      </c>
      <c r="AV29" s="10">
        <f>-1702+120743</f>
        <v>119041</v>
      </c>
      <c r="AW29" s="10">
        <f>1275+1550555</f>
        <v>1551830</v>
      </c>
      <c r="AX29" s="10">
        <v>45352231</v>
      </c>
      <c r="AY29" s="10">
        <v>45352231</v>
      </c>
      <c r="AZ29" s="10"/>
      <c r="BA29" s="10"/>
      <c r="BB29" s="10"/>
      <c r="BC29" s="10"/>
      <c r="BD29" s="10">
        <v>1200694</v>
      </c>
      <c r="BE29" s="10">
        <v>32346907</v>
      </c>
      <c r="BF29" s="10">
        <v>15941186</v>
      </c>
      <c r="BG29" s="10">
        <v>15941186</v>
      </c>
      <c r="BH29" s="10">
        <v>61529280</v>
      </c>
      <c r="BI29" s="10">
        <v>61529281</v>
      </c>
      <c r="BJ29" s="10"/>
      <c r="BK29" s="10"/>
      <c r="BL29" s="10">
        <v>3209198</v>
      </c>
      <c r="BM29" s="10">
        <v>38081464</v>
      </c>
      <c r="BN29" s="10">
        <v>158420404</v>
      </c>
      <c r="BO29" s="10">
        <v>158420404</v>
      </c>
      <c r="BP29" s="10">
        <f>58200+595085</f>
        <v>653285</v>
      </c>
      <c r="BQ29" s="10">
        <f>569733+8542688</f>
        <v>9112421</v>
      </c>
      <c r="BR29" s="85">
        <f t="shared" ref="BR29:BR33" si="4">SUM(B29+D29+F29+H29+J29+L29+N29+P29+R29+T29+V29+X29+Z29+AB29+AD29+AF29+AH29+AJ29+AL29+AN29+AP29+AR29+AT29+AV29+AX29+AZ29+BB29+BD29+BF29+BH29+BJ29+BL29+BN29+BP29)</f>
        <v>724894122.67054033</v>
      </c>
      <c r="BS29" s="85">
        <f t="shared" ref="BS29:BS33" si="5">SUM(C29+E29+G29+I29+K29+M29+O29+Q29+S29+U29+W29+Y29+AA29+AC29+AE29+AG29+AI29+AK29+AM29+AO29+AQ29+AS29+AU29+AW29+AY29+BA29+BC29+BE29+BG29+BI29+BK29+BM29+BO29+BQ29)</f>
        <v>1166665477.9760001</v>
      </c>
    </row>
    <row r="30" spans="1:71" x14ac:dyDescent="0.25">
      <c r="A30" s="10" t="s">
        <v>291</v>
      </c>
      <c r="B30" s="10">
        <v>419632</v>
      </c>
      <c r="C30" s="10">
        <v>147214</v>
      </c>
      <c r="D30" s="10"/>
      <c r="E30" s="10"/>
      <c r="F30" s="10"/>
      <c r="G30" s="10"/>
      <c r="H30" s="10"/>
      <c r="I30" s="10"/>
      <c r="J30" s="10"/>
      <c r="K30" s="10">
        <v>57086160</v>
      </c>
      <c r="L30" s="10"/>
      <c r="M30" s="10">
        <v>18160687</v>
      </c>
      <c r="N30" s="10">
        <v>46548162</v>
      </c>
      <c r="O30" s="10">
        <v>40515485</v>
      </c>
      <c r="P30" s="10">
        <v>-228014</v>
      </c>
      <c r="Q30" s="10">
        <v>-25763</v>
      </c>
      <c r="R30" s="10">
        <v>169712</v>
      </c>
      <c r="S30" s="10">
        <v>76214</v>
      </c>
      <c r="T30" s="10"/>
      <c r="U30" s="10"/>
      <c r="V30" s="10">
        <v>17051062</v>
      </c>
      <c r="W30" s="10">
        <v>16199674</v>
      </c>
      <c r="X30" s="10"/>
      <c r="Y30" s="10">
        <v>2221534</v>
      </c>
      <c r="Z30" s="10">
        <f>-34815577-2865365</f>
        <v>-37680942</v>
      </c>
      <c r="AA30" s="10">
        <f>-29869297-2000097</f>
        <v>-31869394</v>
      </c>
      <c r="AB30" s="10">
        <v>98013009</v>
      </c>
      <c r="AC30" s="10">
        <v>88872535</v>
      </c>
      <c r="AD30" s="10"/>
      <c r="AE30" s="10">
        <v>35543029</v>
      </c>
      <c r="AF30" s="10">
        <v>1742586</v>
      </c>
      <c r="AG30" s="10">
        <v>1296747</v>
      </c>
      <c r="AH30" s="10">
        <f>565393+6827743</f>
        <v>7393136</v>
      </c>
      <c r="AI30" s="10">
        <f>488164+5533892</f>
        <v>6022056</v>
      </c>
      <c r="AJ30" s="10">
        <v>-12017664</v>
      </c>
      <c r="AK30" s="10">
        <v>-9758919</v>
      </c>
      <c r="AL30" s="10"/>
      <c r="AM30" s="10"/>
      <c r="AN30" s="10"/>
      <c r="AO30" s="10"/>
      <c r="AP30" s="10">
        <v>-2.9999911785125732E-3</v>
      </c>
      <c r="AQ30" s="10">
        <v>120611039.62599996</v>
      </c>
      <c r="AR30" s="10">
        <v>173022874</v>
      </c>
      <c r="AS30" s="10">
        <v>173022874</v>
      </c>
      <c r="AT30" s="10"/>
      <c r="AU30" s="10">
        <v>101126016</v>
      </c>
      <c r="AV30" s="10"/>
      <c r="AW30" s="10">
        <f>2796+1086772</f>
        <v>1089568</v>
      </c>
      <c r="AX30" s="10">
        <v>43429883</v>
      </c>
      <c r="AY30" s="10">
        <v>40953020</v>
      </c>
      <c r="AZ30" s="10"/>
      <c r="BA30" s="10"/>
      <c r="BB30" s="10"/>
      <c r="BC30" s="10"/>
      <c r="BD30" s="10"/>
      <c r="BE30" s="10">
        <v>-27957350</v>
      </c>
      <c r="BF30" s="10">
        <v>15433103</v>
      </c>
      <c r="BG30" s="10">
        <v>14680991</v>
      </c>
      <c r="BH30" s="10">
        <v>60691869</v>
      </c>
      <c r="BI30" s="10">
        <v>57492388</v>
      </c>
      <c r="BJ30" s="10"/>
      <c r="BK30" s="10"/>
      <c r="BL30" s="10"/>
      <c r="BM30" s="10">
        <v>28207084</v>
      </c>
      <c r="BN30" s="10">
        <v>155479161</v>
      </c>
      <c r="BO30" s="10">
        <v>141142353</v>
      </c>
      <c r="BP30" s="10"/>
      <c r="BQ30" s="10">
        <f>407518+6764302</f>
        <v>7171820</v>
      </c>
      <c r="BR30" s="85">
        <f t="shared" si="4"/>
        <v>569467568.99699998</v>
      </c>
      <c r="BS30" s="85">
        <f t="shared" si="5"/>
        <v>882027062.62599993</v>
      </c>
    </row>
    <row r="31" spans="1:71" x14ac:dyDescent="0.25">
      <c r="A31" s="26" t="s">
        <v>306</v>
      </c>
      <c r="B31" s="10"/>
      <c r="C31" s="10"/>
      <c r="D31" s="10"/>
      <c r="E31" s="10"/>
      <c r="F31" s="10"/>
      <c r="G31" s="10"/>
      <c r="H31" s="10"/>
      <c r="I31" s="10"/>
      <c r="J31" s="10">
        <v>9348459</v>
      </c>
      <c r="K31" s="10">
        <v>25941137</v>
      </c>
      <c r="L31" s="10"/>
      <c r="M31" s="10"/>
      <c r="N31" s="10">
        <v>6314429</v>
      </c>
      <c r="O31" s="10">
        <v>18930563</v>
      </c>
      <c r="P31" s="10">
        <v>248959</v>
      </c>
      <c r="Q31" s="10">
        <v>499107</v>
      </c>
      <c r="R31" s="10">
        <v>136734</v>
      </c>
      <c r="S31" s="10">
        <v>237363</v>
      </c>
      <c r="T31" s="10"/>
      <c r="U31" s="10"/>
      <c r="V31" s="10"/>
      <c r="W31" s="10"/>
      <c r="X31" s="10"/>
      <c r="Y31" s="10"/>
      <c r="Z31" s="10">
        <f>3000296+3342704</f>
        <v>6343000</v>
      </c>
      <c r="AA31" s="10">
        <f>8878963+10796958</f>
        <v>19675921</v>
      </c>
      <c r="AB31" s="10">
        <v>13191322</v>
      </c>
      <c r="AC31" s="10">
        <v>39549082</v>
      </c>
      <c r="AD31" s="10">
        <v>7156660</v>
      </c>
      <c r="AE31" s="10">
        <v>21918407</v>
      </c>
      <c r="AF31" s="10">
        <v>413436</v>
      </c>
      <c r="AG31" s="10">
        <v>1182781</v>
      </c>
      <c r="AH31" s="10">
        <f>938778+798868</f>
        <v>1737646</v>
      </c>
      <c r="AI31" s="10">
        <f>2496360+2236971</f>
        <v>4733331</v>
      </c>
      <c r="AJ31" s="10">
        <v>1841074</v>
      </c>
      <c r="AK31" s="10">
        <v>5085372</v>
      </c>
      <c r="AL31" s="10"/>
      <c r="AM31" s="10"/>
      <c r="AN31" s="10"/>
      <c r="AO31" s="10"/>
      <c r="AP31" s="10"/>
      <c r="AQ31" s="10"/>
      <c r="AR31" s="10">
        <v>35389519</v>
      </c>
      <c r="AS31" s="10">
        <v>67510259</v>
      </c>
      <c r="AT31" s="10">
        <v>10172079</v>
      </c>
      <c r="AU31" s="10">
        <v>32685715</v>
      </c>
      <c r="AV31" s="10">
        <f>-1213+145882</f>
        <v>144669</v>
      </c>
      <c r="AW31" s="10">
        <f>-95+518883</f>
        <v>518788</v>
      </c>
      <c r="AX31" s="10"/>
      <c r="AY31" s="10"/>
      <c r="AZ31" s="10"/>
      <c r="BA31" s="10"/>
      <c r="BB31" s="10"/>
      <c r="BC31" s="10"/>
      <c r="BD31" s="10">
        <v>4480279</v>
      </c>
      <c r="BE31" s="10">
        <v>14007136</v>
      </c>
      <c r="BF31" s="10"/>
      <c r="BG31" s="10"/>
      <c r="BH31" s="10"/>
      <c r="BI31" s="10"/>
      <c r="BJ31" s="10"/>
      <c r="BK31" s="10"/>
      <c r="BL31" s="10">
        <v>7654227</v>
      </c>
      <c r="BM31" s="10">
        <v>21719889</v>
      </c>
      <c r="BN31" s="10">
        <v>13961876</v>
      </c>
      <c r="BO31" s="10">
        <v>48126509</v>
      </c>
      <c r="BP31" s="10">
        <f>896740+899316</f>
        <v>1796056</v>
      </c>
      <c r="BQ31" s="10">
        <f>2361527+2500550</f>
        <v>4862077</v>
      </c>
      <c r="BR31" s="85">
        <f t="shared" si="4"/>
        <v>120330424</v>
      </c>
      <c r="BS31" s="85">
        <f t="shared" si="5"/>
        <v>327183437</v>
      </c>
    </row>
    <row r="32" spans="1:71" x14ac:dyDescent="0.25">
      <c r="A32" s="26" t="s">
        <v>289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>
        <v>0</v>
      </c>
      <c r="AQ32" s="10">
        <v>11810.05</v>
      </c>
      <c r="AR32" s="10">
        <v>61309</v>
      </c>
      <c r="AS32" s="10">
        <v>148726</v>
      </c>
      <c r="AT32" s="10">
        <v>-26064</v>
      </c>
      <c r="AU32" s="10">
        <v>-24322</v>
      </c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>
        <v>0</v>
      </c>
      <c r="BO32" s="10">
        <v>0</v>
      </c>
      <c r="BP32" s="10"/>
      <c r="BQ32" s="10"/>
      <c r="BR32" s="85">
        <f t="shared" si="4"/>
        <v>35245</v>
      </c>
      <c r="BS32" s="85">
        <f t="shared" si="5"/>
        <v>136214.04999999999</v>
      </c>
    </row>
    <row r="33" spans="1:71" x14ac:dyDescent="0.25">
      <c r="A33" s="26" t="s">
        <v>290</v>
      </c>
      <c r="B33" s="10">
        <v>129608</v>
      </c>
      <c r="C33" s="10">
        <v>275811</v>
      </c>
      <c r="D33" s="10"/>
      <c r="E33" s="10"/>
      <c r="F33" s="10"/>
      <c r="G33" s="10"/>
      <c r="H33" s="10"/>
      <c r="I33" s="10"/>
      <c r="J33" s="10">
        <v>600759</v>
      </c>
      <c r="K33" s="10">
        <v>1579825</v>
      </c>
      <c r="L33" s="10">
        <v>189385</v>
      </c>
      <c r="M33" s="10">
        <v>416217</v>
      </c>
      <c r="N33" s="10">
        <v>605576</v>
      </c>
      <c r="O33" s="10">
        <v>1586987</v>
      </c>
      <c r="P33" s="10">
        <v>-18264</v>
      </c>
      <c r="Q33" s="10">
        <v>-30630</v>
      </c>
      <c r="R33" s="10">
        <v>6781</v>
      </c>
      <c r="S33" s="10">
        <v>-60591</v>
      </c>
      <c r="T33" s="10"/>
      <c r="U33" s="10"/>
      <c r="V33" s="10">
        <v>142560</v>
      </c>
      <c r="W33" s="10">
        <v>263897</v>
      </c>
      <c r="X33" s="10">
        <v>159233</v>
      </c>
      <c r="Y33" s="10">
        <v>310188</v>
      </c>
      <c r="Z33" s="10">
        <f>-68888-752683</f>
        <v>-821571</v>
      </c>
      <c r="AA33" s="10">
        <f>-121535-2278060</f>
        <v>-2399595</v>
      </c>
      <c r="AB33" s="10">
        <v>1492191</v>
      </c>
      <c r="AC33" s="10">
        <v>4445237</v>
      </c>
      <c r="AD33" s="10">
        <v>1237199</v>
      </c>
      <c r="AE33" s="10">
        <v>3113480</v>
      </c>
      <c r="AF33" s="10">
        <v>9229</v>
      </c>
      <c r="AG33" s="10">
        <v>27134</v>
      </c>
      <c r="AH33" s="10">
        <f>40431+5784</f>
        <v>46215</v>
      </c>
      <c r="AI33" s="10">
        <f>132083+13173</f>
        <v>145256</v>
      </c>
      <c r="AJ33" s="10">
        <v>-245396</v>
      </c>
      <c r="AK33" s="10">
        <v>-591319</v>
      </c>
      <c r="AL33" s="10"/>
      <c r="AM33" s="10"/>
      <c r="AN33" s="10"/>
      <c r="AO33" s="10"/>
      <c r="AP33" s="10">
        <v>2213944.3289999999</v>
      </c>
      <c r="AQ33" s="10">
        <v>6556380.676</v>
      </c>
      <c r="AR33" s="10">
        <v>964963</v>
      </c>
      <c r="AS33" s="10">
        <v>3224240</v>
      </c>
      <c r="AT33" s="10">
        <v>-128852</v>
      </c>
      <c r="AU33" s="10">
        <v>-43636</v>
      </c>
      <c r="AV33" s="10">
        <f>24+1257</f>
        <v>1281</v>
      </c>
      <c r="AW33" s="10">
        <f>71+2759</f>
        <v>2830</v>
      </c>
      <c r="AX33" s="10">
        <v>1067486</v>
      </c>
      <c r="AY33" s="10">
        <v>3169590</v>
      </c>
      <c r="AZ33" s="10"/>
      <c r="BA33" s="10"/>
      <c r="BB33" s="10"/>
      <c r="BC33" s="10"/>
      <c r="BD33" s="10">
        <v>-626296</v>
      </c>
      <c r="BE33" s="10">
        <v>-1867178</v>
      </c>
      <c r="BF33" s="10">
        <v>195232</v>
      </c>
      <c r="BG33" s="10">
        <v>416049</v>
      </c>
      <c r="BH33" s="10">
        <v>128646</v>
      </c>
      <c r="BI33" s="10">
        <v>374114</v>
      </c>
      <c r="BJ33" s="10"/>
      <c r="BK33" s="10"/>
      <c r="BL33" s="10">
        <v>1387685</v>
      </c>
      <c r="BM33" s="10">
        <v>3488905</v>
      </c>
      <c r="BN33" s="10">
        <v>647494</v>
      </c>
      <c r="BO33" s="10">
        <v>4495441</v>
      </c>
      <c r="BP33" s="10">
        <f>45271+17387</f>
        <v>62658</v>
      </c>
      <c r="BQ33" s="10">
        <f>134146+44997</f>
        <v>179143</v>
      </c>
      <c r="BR33" s="85">
        <f t="shared" si="4"/>
        <v>9447746.3289999999</v>
      </c>
      <c r="BS33" s="85">
        <f t="shared" si="5"/>
        <v>29077775.675999999</v>
      </c>
    </row>
    <row r="34" spans="1:71" x14ac:dyDescent="0.25">
      <c r="A34" s="26" t="s">
        <v>286</v>
      </c>
      <c r="B34" s="10">
        <v>170569</v>
      </c>
      <c r="C34" s="10">
        <v>553982</v>
      </c>
      <c r="D34" s="10"/>
      <c r="E34" s="10"/>
      <c r="F34" s="10"/>
      <c r="G34" s="10"/>
      <c r="H34" s="10"/>
      <c r="I34" s="10"/>
      <c r="J34" s="10">
        <v>8747700</v>
      </c>
      <c r="K34" s="10">
        <v>24361312</v>
      </c>
      <c r="L34" s="10">
        <v>2713845</v>
      </c>
      <c r="M34" s="10">
        <v>7458679</v>
      </c>
      <c r="N34" s="10">
        <v>5708853</v>
      </c>
      <c r="O34" s="10">
        <v>17343576</v>
      </c>
      <c r="P34" s="10">
        <v>216695</v>
      </c>
      <c r="Q34" s="10">
        <v>435908</v>
      </c>
      <c r="R34" s="10">
        <v>129953</v>
      </c>
      <c r="S34" s="10">
        <v>297954</v>
      </c>
      <c r="T34" s="10"/>
      <c r="U34" s="10"/>
      <c r="V34" s="10">
        <v>1360184</v>
      </c>
      <c r="W34" s="10">
        <v>4536954</v>
      </c>
      <c r="X34" s="10">
        <v>2447480</v>
      </c>
      <c r="Y34" s="10">
        <v>6027339</v>
      </c>
      <c r="Z34" s="10">
        <f>2070600+2688972</f>
        <v>4759572</v>
      </c>
      <c r="AA34" s="10">
        <f>6433352+8274833</f>
        <v>14708185</v>
      </c>
      <c r="AB34" s="10">
        <v>11905192</v>
      </c>
      <c r="AC34" s="10">
        <v>35741593</v>
      </c>
      <c r="AD34" s="10">
        <v>5919461</v>
      </c>
      <c r="AE34" s="10">
        <v>18804927</v>
      </c>
      <c r="AF34" s="10">
        <v>404207</v>
      </c>
      <c r="AG34" s="10">
        <v>1155647</v>
      </c>
      <c r="AH34" s="10">
        <f>893909+758863</f>
        <v>1652772</v>
      </c>
      <c r="AI34" s="10">
        <f>2124915+2376223</f>
        <v>4501138</v>
      </c>
      <c r="AJ34" s="10">
        <v>1478498</v>
      </c>
      <c r="AK34" s="10">
        <v>4079224</v>
      </c>
      <c r="AL34" s="10"/>
      <c r="AM34" s="10"/>
      <c r="AN34" s="10"/>
      <c r="AO34" s="10"/>
      <c r="AP34" s="10">
        <v>14987116.25154037</v>
      </c>
      <c r="AQ34" s="10">
        <v>39460948.438000053</v>
      </c>
      <c r="AR34" s="10">
        <v>34257661</v>
      </c>
      <c r="AS34" s="10">
        <v>64206541</v>
      </c>
      <c r="AT34" s="10">
        <v>10274867</v>
      </c>
      <c r="AU34" s="10">
        <v>32705028</v>
      </c>
      <c r="AV34" s="10">
        <f>-1237+144625</f>
        <v>143388</v>
      </c>
      <c r="AW34" s="10">
        <f>-167+516125</f>
        <v>515958</v>
      </c>
      <c r="AX34" s="10">
        <v>4708938</v>
      </c>
      <c r="AY34" s="10">
        <v>13522897</v>
      </c>
      <c r="AZ34" s="10"/>
      <c r="BA34" s="10"/>
      <c r="BB34" s="10"/>
      <c r="BC34" s="10"/>
      <c r="BD34" s="10">
        <v>3823804</v>
      </c>
      <c r="BE34" s="10">
        <v>11843378</v>
      </c>
      <c r="BF34" s="10">
        <v>2066181</v>
      </c>
      <c r="BG34" s="10">
        <v>5895523</v>
      </c>
      <c r="BH34" s="10">
        <v>3314138</v>
      </c>
      <c r="BI34" s="10">
        <v>10871330</v>
      </c>
      <c r="BJ34" s="10"/>
      <c r="BK34" s="10"/>
      <c r="BL34" s="10">
        <v>6266542</v>
      </c>
      <c r="BM34" s="10">
        <v>18230984</v>
      </c>
      <c r="BN34" s="10">
        <v>13314382</v>
      </c>
      <c r="BO34" s="10">
        <v>43631068</v>
      </c>
      <c r="BP34" s="10">
        <f>851469+881929</f>
        <v>1733398</v>
      </c>
      <c r="BQ34" s="10">
        <f>2227381+2455553</f>
        <v>4682934</v>
      </c>
      <c r="BR34" s="85">
        <f>SUM(B34+D34+F34+H34+J34+L34+N34+P34+R34+T34+V34+X34+Z34+AB34+AD34+AF34+AH34+AJ34+AL34+AN34+AP34+AR34+AT34+AV34+AX34+AZ34+BB34+BD34+BF34+BH34+BJ34+BL34+BN34+BP34)</f>
        <v>142505396.25154036</v>
      </c>
      <c r="BS34" s="85">
        <f>SUM(C34+E34+G34+I34+K34+M34+O34+Q34+S34+U34+W34+Y34+AA34+AC34+AE34+AG34+AI34+AK34+AM34+AO34+AQ34+AS34+AU34+AW34+AY34+BA34+BC34+BE34+BG34+BI34+BK34+BM34+BO34+BQ34)</f>
        <v>385573007.43800008</v>
      </c>
    </row>
    <row r="35" spans="1:71" x14ac:dyDescent="0.25">
      <c r="A35" s="18"/>
    </row>
    <row r="36" spans="1:71" x14ac:dyDescent="0.25">
      <c r="A36" s="33" t="s">
        <v>232</v>
      </c>
    </row>
    <row r="37" spans="1:71" x14ac:dyDescent="0.25">
      <c r="A37" s="3" t="s">
        <v>0</v>
      </c>
      <c r="B37" s="107" t="s">
        <v>1</v>
      </c>
      <c r="C37" s="108"/>
      <c r="D37" s="107" t="s">
        <v>2</v>
      </c>
      <c r="E37" s="108"/>
      <c r="F37" s="107" t="s">
        <v>3</v>
      </c>
      <c r="G37" s="108"/>
      <c r="H37" s="107" t="s">
        <v>307</v>
      </c>
      <c r="I37" s="108"/>
      <c r="J37" s="107" t="s">
        <v>5</v>
      </c>
      <c r="K37" s="108"/>
      <c r="L37" s="107" t="s">
        <v>6</v>
      </c>
      <c r="M37" s="108"/>
      <c r="N37" s="107" t="s">
        <v>7</v>
      </c>
      <c r="O37" s="108"/>
      <c r="P37" s="107" t="s">
        <v>8</v>
      </c>
      <c r="Q37" s="108"/>
      <c r="R37" s="107" t="s">
        <v>9</v>
      </c>
      <c r="S37" s="108"/>
      <c r="T37" s="107" t="s">
        <v>10</v>
      </c>
      <c r="U37" s="108"/>
      <c r="V37" s="107" t="s">
        <v>11</v>
      </c>
      <c r="W37" s="108"/>
      <c r="X37" s="107" t="s">
        <v>12</v>
      </c>
      <c r="Y37" s="108"/>
      <c r="Z37" s="107" t="s">
        <v>13</v>
      </c>
      <c r="AA37" s="108"/>
      <c r="AB37" s="107" t="s">
        <v>14</v>
      </c>
      <c r="AC37" s="108"/>
      <c r="AD37" s="107" t="s">
        <v>15</v>
      </c>
      <c r="AE37" s="108"/>
      <c r="AF37" s="107" t="s">
        <v>16</v>
      </c>
      <c r="AG37" s="108"/>
      <c r="AH37" s="107" t="s">
        <v>17</v>
      </c>
      <c r="AI37" s="108"/>
      <c r="AJ37" s="107" t="s">
        <v>18</v>
      </c>
      <c r="AK37" s="108"/>
      <c r="AL37" s="107" t="s">
        <v>296</v>
      </c>
      <c r="AM37" s="108"/>
      <c r="AN37" s="107" t="s">
        <v>19</v>
      </c>
      <c r="AO37" s="108"/>
      <c r="AP37" s="107" t="s">
        <v>20</v>
      </c>
      <c r="AQ37" s="108"/>
      <c r="AR37" s="107" t="s">
        <v>21</v>
      </c>
      <c r="AS37" s="108"/>
      <c r="AT37" s="107" t="s">
        <v>22</v>
      </c>
      <c r="AU37" s="108"/>
      <c r="AV37" s="107" t="s">
        <v>23</v>
      </c>
      <c r="AW37" s="108"/>
      <c r="AX37" s="107" t="s">
        <v>24</v>
      </c>
      <c r="AY37" s="108"/>
      <c r="AZ37" s="107" t="s">
        <v>25</v>
      </c>
      <c r="BA37" s="108"/>
      <c r="BB37" s="107" t="s">
        <v>26</v>
      </c>
      <c r="BC37" s="108"/>
      <c r="BD37" s="107" t="s">
        <v>27</v>
      </c>
      <c r="BE37" s="108"/>
      <c r="BF37" s="107" t="s">
        <v>28</v>
      </c>
      <c r="BG37" s="108"/>
      <c r="BH37" s="107" t="s">
        <v>29</v>
      </c>
      <c r="BI37" s="108"/>
      <c r="BJ37" s="107" t="s">
        <v>30</v>
      </c>
      <c r="BK37" s="108"/>
      <c r="BL37" s="107" t="s">
        <v>31</v>
      </c>
      <c r="BM37" s="108"/>
      <c r="BN37" s="111" t="s">
        <v>32</v>
      </c>
      <c r="BO37" s="112"/>
      <c r="BP37" s="107" t="s">
        <v>33</v>
      </c>
      <c r="BQ37" s="108"/>
      <c r="BR37" s="109" t="s">
        <v>34</v>
      </c>
      <c r="BS37" s="110"/>
    </row>
    <row r="38" spans="1:71" ht="30" x14ac:dyDescent="0.25">
      <c r="A38" s="3"/>
      <c r="B38" s="66" t="s">
        <v>294</v>
      </c>
      <c r="C38" s="67" t="s">
        <v>295</v>
      </c>
      <c r="D38" s="66" t="s">
        <v>294</v>
      </c>
      <c r="E38" s="67" t="s">
        <v>295</v>
      </c>
      <c r="F38" s="66" t="s">
        <v>294</v>
      </c>
      <c r="G38" s="67" t="s">
        <v>295</v>
      </c>
      <c r="H38" s="66" t="s">
        <v>294</v>
      </c>
      <c r="I38" s="67" t="s">
        <v>295</v>
      </c>
      <c r="J38" s="66" t="s">
        <v>294</v>
      </c>
      <c r="K38" s="67" t="s">
        <v>295</v>
      </c>
      <c r="L38" s="66" t="s">
        <v>294</v>
      </c>
      <c r="M38" s="67" t="s">
        <v>295</v>
      </c>
      <c r="N38" s="66" t="s">
        <v>294</v>
      </c>
      <c r="O38" s="67" t="s">
        <v>295</v>
      </c>
      <c r="P38" s="66" t="s">
        <v>294</v>
      </c>
      <c r="Q38" s="67" t="s">
        <v>295</v>
      </c>
      <c r="R38" s="66" t="s">
        <v>294</v>
      </c>
      <c r="S38" s="67" t="s">
        <v>295</v>
      </c>
      <c r="T38" s="66" t="s">
        <v>294</v>
      </c>
      <c r="U38" s="67" t="s">
        <v>295</v>
      </c>
      <c r="V38" s="66" t="s">
        <v>294</v>
      </c>
      <c r="W38" s="67" t="s">
        <v>295</v>
      </c>
      <c r="X38" s="66" t="s">
        <v>294</v>
      </c>
      <c r="Y38" s="67" t="s">
        <v>295</v>
      </c>
      <c r="Z38" s="66" t="s">
        <v>294</v>
      </c>
      <c r="AA38" s="67" t="s">
        <v>295</v>
      </c>
      <c r="AB38" s="66" t="s">
        <v>294</v>
      </c>
      <c r="AC38" s="67" t="s">
        <v>295</v>
      </c>
      <c r="AD38" s="66" t="s">
        <v>294</v>
      </c>
      <c r="AE38" s="67" t="s">
        <v>295</v>
      </c>
      <c r="AF38" s="66" t="s">
        <v>294</v>
      </c>
      <c r="AG38" s="67" t="s">
        <v>295</v>
      </c>
      <c r="AH38" s="66" t="s">
        <v>294</v>
      </c>
      <c r="AI38" s="67" t="s">
        <v>295</v>
      </c>
      <c r="AJ38" s="66" t="s">
        <v>294</v>
      </c>
      <c r="AK38" s="67" t="s">
        <v>295</v>
      </c>
      <c r="AL38" s="66" t="s">
        <v>294</v>
      </c>
      <c r="AM38" s="67" t="s">
        <v>295</v>
      </c>
      <c r="AN38" s="66" t="s">
        <v>294</v>
      </c>
      <c r="AO38" s="67" t="s">
        <v>295</v>
      </c>
      <c r="AP38" s="66" t="s">
        <v>294</v>
      </c>
      <c r="AQ38" s="67" t="s">
        <v>295</v>
      </c>
      <c r="AR38" s="66" t="s">
        <v>294</v>
      </c>
      <c r="AS38" s="67" t="s">
        <v>295</v>
      </c>
      <c r="AT38" s="66" t="s">
        <v>294</v>
      </c>
      <c r="AU38" s="67" t="s">
        <v>295</v>
      </c>
      <c r="AV38" s="66" t="s">
        <v>294</v>
      </c>
      <c r="AW38" s="67" t="s">
        <v>295</v>
      </c>
      <c r="AX38" s="66" t="s">
        <v>294</v>
      </c>
      <c r="AY38" s="67" t="s">
        <v>295</v>
      </c>
      <c r="AZ38" s="66" t="s">
        <v>294</v>
      </c>
      <c r="BA38" s="67" t="s">
        <v>295</v>
      </c>
      <c r="BB38" s="66" t="s">
        <v>294</v>
      </c>
      <c r="BC38" s="67" t="s">
        <v>295</v>
      </c>
      <c r="BD38" s="66" t="s">
        <v>294</v>
      </c>
      <c r="BE38" s="67" t="s">
        <v>295</v>
      </c>
      <c r="BF38" s="66" t="s">
        <v>294</v>
      </c>
      <c r="BG38" s="67" t="s">
        <v>295</v>
      </c>
      <c r="BH38" s="66" t="s">
        <v>294</v>
      </c>
      <c r="BI38" s="67" t="s">
        <v>295</v>
      </c>
      <c r="BJ38" s="66" t="s">
        <v>294</v>
      </c>
      <c r="BK38" s="67" t="s">
        <v>295</v>
      </c>
      <c r="BL38" s="66" t="s">
        <v>294</v>
      </c>
      <c r="BM38" s="67" t="s">
        <v>295</v>
      </c>
      <c r="BN38" s="66" t="s">
        <v>294</v>
      </c>
      <c r="BO38" s="67" t="s">
        <v>295</v>
      </c>
      <c r="BP38" s="66" t="s">
        <v>294</v>
      </c>
      <c r="BQ38" s="67" t="s">
        <v>295</v>
      </c>
      <c r="BR38" s="66" t="s">
        <v>294</v>
      </c>
      <c r="BS38" s="67" t="s">
        <v>295</v>
      </c>
    </row>
    <row r="39" spans="1:71" x14ac:dyDescent="0.25">
      <c r="A39" s="26" t="s">
        <v>241</v>
      </c>
      <c r="B39" s="10"/>
      <c r="C39" s="10"/>
      <c r="D39" s="10"/>
      <c r="E39" s="10"/>
      <c r="F39" s="10"/>
      <c r="G39" s="10"/>
      <c r="H39" s="10"/>
      <c r="I39" s="10"/>
      <c r="J39" s="10">
        <v>140805</v>
      </c>
      <c r="K39" s="10">
        <v>384362</v>
      </c>
      <c r="L39" s="10">
        <v>23013</v>
      </c>
      <c r="M39" s="10">
        <v>274317</v>
      </c>
      <c r="N39" s="10">
        <v>11195</v>
      </c>
      <c r="O39" s="10">
        <v>51430</v>
      </c>
      <c r="P39" s="10"/>
      <c r="Q39" s="10"/>
      <c r="R39" s="10"/>
      <c r="S39" s="10"/>
      <c r="T39" s="10"/>
      <c r="U39" s="10"/>
      <c r="V39" s="10">
        <v>32620</v>
      </c>
      <c r="W39" s="10">
        <v>103938</v>
      </c>
      <c r="X39" s="10"/>
      <c r="Y39" s="10"/>
      <c r="Z39" s="10">
        <v>219490</v>
      </c>
      <c r="AA39" s="10">
        <v>639503</v>
      </c>
      <c r="AB39" s="10">
        <v>263036</v>
      </c>
      <c r="AC39" s="10">
        <v>691654</v>
      </c>
      <c r="AD39" s="10">
        <v>59022</v>
      </c>
      <c r="AE39" s="10">
        <v>188342</v>
      </c>
      <c r="AF39" s="10"/>
      <c r="AG39" s="10"/>
      <c r="AH39" s="10">
        <v>45993</v>
      </c>
      <c r="AI39" s="10">
        <v>107809</v>
      </c>
      <c r="AJ39" s="10">
        <v>4245</v>
      </c>
      <c r="AK39" s="10">
        <v>6628</v>
      </c>
      <c r="AL39" s="10"/>
      <c r="AM39" s="10"/>
      <c r="AN39" s="10"/>
      <c r="AO39" s="10"/>
      <c r="AP39" s="10">
        <v>218996.57900000003</v>
      </c>
      <c r="AQ39" s="10">
        <v>625380.35900000005</v>
      </c>
      <c r="AR39" s="10">
        <v>947158</v>
      </c>
      <c r="AS39" s="10">
        <v>1740211</v>
      </c>
      <c r="AT39" s="10">
        <v>200750</v>
      </c>
      <c r="AU39" s="10">
        <v>584403</v>
      </c>
      <c r="AV39" s="10">
        <v>105</v>
      </c>
      <c r="AW39" s="10">
        <v>276</v>
      </c>
      <c r="AX39" s="10">
        <v>90468</v>
      </c>
      <c r="AY39" s="10">
        <v>162811</v>
      </c>
      <c r="AZ39" s="10"/>
      <c r="BA39" s="10"/>
      <c r="BB39" s="10"/>
      <c r="BC39" s="10"/>
      <c r="BD39" s="10">
        <v>84136</v>
      </c>
      <c r="BE39" s="10">
        <v>153957</v>
      </c>
      <c r="BF39" s="10">
        <v>100103</v>
      </c>
      <c r="BG39" s="10">
        <v>124681</v>
      </c>
      <c r="BH39" s="10">
        <v>12365</v>
      </c>
      <c r="BI39" s="10">
        <v>60847</v>
      </c>
      <c r="BJ39" s="10"/>
      <c r="BK39" s="10"/>
      <c r="BL39" s="10">
        <v>50982</v>
      </c>
      <c r="BM39" s="10">
        <v>116589</v>
      </c>
      <c r="BN39" s="10">
        <v>337194</v>
      </c>
      <c r="BO39" s="10">
        <v>1334456</v>
      </c>
      <c r="BP39" s="10">
        <v>1519</v>
      </c>
      <c r="BQ39" s="10">
        <v>9532</v>
      </c>
      <c r="BR39" s="85">
        <f>SUM(B39+D39+F39+H39+J39+L39+N39+P39+R39+T39+V39+X39+Z39+AB39+AD39+AF39+AH39+AJ39+AL39+AN39+AP39+AR39+AT39+AV39+AX39+AZ39+BB39+BD39+BF39+BH39+BJ39+BL39+BN39+BP39)</f>
        <v>2843195.5789999999</v>
      </c>
      <c r="BS39" s="85">
        <f>SUM(C39+E39+G39+I39+K39+M39+O39+Q39+S39+U39+W39+Y39+AA39+AC39+AE39+AG39+AI39+AK39+AM39+AO39+AQ39+AS39+AU39+AW39+AY39+BA39+BC39+BE39+BG39+BI39+BK39+BM39+BO39+BQ39)</f>
        <v>7361126.3590000002</v>
      </c>
    </row>
    <row r="40" spans="1:71" x14ac:dyDescent="0.25">
      <c r="A40" s="10" t="s">
        <v>292</v>
      </c>
      <c r="B40" s="10"/>
      <c r="C40" s="10"/>
      <c r="D40" s="10"/>
      <c r="E40" s="10"/>
      <c r="F40" s="10"/>
      <c r="G40" s="10"/>
      <c r="H40" s="10"/>
      <c r="I40" s="10"/>
      <c r="J40" s="10">
        <v>-22016</v>
      </c>
      <c r="K40" s="10">
        <v>229053</v>
      </c>
      <c r="L40" s="10">
        <v>7641</v>
      </c>
      <c r="M40" s="10">
        <v>120753</v>
      </c>
      <c r="N40" s="10">
        <v>54668</v>
      </c>
      <c r="O40" s="10">
        <v>54668</v>
      </c>
      <c r="P40" s="10">
        <v>3372</v>
      </c>
      <c r="Q40" s="10">
        <v>3372</v>
      </c>
      <c r="R40" s="10">
        <v>2517</v>
      </c>
      <c r="S40" s="10">
        <v>2517</v>
      </c>
      <c r="T40" s="10"/>
      <c r="U40" s="10"/>
      <c r="V40" s="10">
        <v>114126</v>
      </c>
      <c r="W40" s="10">
        <v>114126</v>
      </c>
      <c r="X40" s="10">
        <v>441</v>
      </c>
      <c r="Y40" s="10">
        <v>4372</v>
      </c>
      <c r="Z40" s="10">
        <v>1658449</v>
      </c>
      <c r="AA40" s="10">
        <v>1658449</v>
      </c>
      <c r="AB40" s="10">
        <v>3572022</v>
      </c>
      <c r="AC40" s="10">
        <v>3572022</v>
      </c>
      <c r="AD40" s="10">
        <v>-1886</v>
      </c>
      <c r="AE40" s="10">
        <v>252366</v>
      </c>
      <c r="AF40" s="10">
        <v>692</v>
      </c>
      <c r="AG40" s="10">
        <v>692</v>
      </c>
      <c r="AH40" s="10">
        <v>198075</v>
      </c>
      <c r="AI40" s="10">
        <v>198075</v>
      </c>
      <c r="AJ40" s="10">
        <v>100252</v>
      </c>
      <c r="AK40" s="10">
        <v>100252</v>
      </c>
      <c r="AL40" s="10"/>
      <c r="AM40" s="10"/>
      <c r="AN40" s="10"/>
      <c r="AO40" s="10"/>
      <c r="AP40" s="10">
        <v>400337.45178131957</v>
      </c>
      <c r="AQ40" s="10">
        <v>3451145.6289999997</v>
      </c>
      <c r="AR40" s="10">
        <v>7250130</v>
      </c>
      <c r="AS40" s="10">
        <v>7250130</v>
      </c>
      <c r="AT40" s="10">
        <v>-148339</v>
      </c>
      <c r="AU40" s="10">
        <v>4189322</v>
      </c>
      <c r="AV40" s="10">
        <v>113</v>
      </c>
      <c r="AW40" s="10">
        <v>1411</v>
      </c>
      <c r="AX40" s="10">
        <v>419522</v>
      </c>
      <c r="AY40" s="10">
        <v>419522</v>
      </c>
      <c r="AZ40" s="10"/>
      <c r="BA40" s="10"/>
      <c r="BB40" s="10"/>
      <c r="BC40" s="10"/>
      <c r="BD40" s="10">
        <v>-53403</v>
      </c>
      <c r="BE40" s="10">
        <v>1073504</v>
      </c>
      <c r="BF40" s="10">
        <v>75212</v>
      </c>
      <c r="BG40" s="10">
        <v>75212</v>
      </c>
      <c r="BH40" s="10">
        <v>112531</v>
      </c>
      <c r="BI40" s="10">
        <v>112531</v>
      </c>
      <c r="BJ40" s="10"/>
      <c r="BK40" s="10"/>
      <c r="BL40" s="10">
        <v>-6583</v>
      </c>
      <c r="BM40" s="10">
        <v>62115</v>
      </c>
      <c r="BN40" s="10">
        <v>4724923</v>
      </c>
      <c r="BO40" s="10">
        <v>4724923</v>
      </c>
      <c r="BP40" s="10">
        <v>52787</v>
      </c>
      <c r="BQ40" s="10">
        <v>100816</v>
      </c>
      <c r="BR40" s="85">
        <f t="shared" ref="BR40:BR44" si="6">SUM(B40+D40+F40+H40+J40+L40+N40+P40+R40+T40+V40+X40+Z40+AB40+AD40+AF40+AH40+AJ40+AL40+AN40+AP40+AR40+AT40+AV40+AX40+AZ40+BB40+BD40+BF40+BH40+BJ40+BL40+BN40+BP40)</f>
        <v>18515583.451781318</v>
      </c>
      <c r="BS40" s="85">
        <f t="shared" ref="BS40:BS44" si="7">SUM(C40+E40+G40+I40+K40+M40+O40+Q40+S40+U40+W40+Y40+AA40+AC40+AE40+AG40+AI40+AK40+AM40+AO40+AQ40+AS40+AU40+AW40+AY40+BA40+BC40+BE40+BG40+BI40+BK40+BM40+BO40+BQ40)</f>
        <v>27771348.629000001</v>
      </c>
    </row>
    <row r="41" spans="1:71" x14ac:dyDescent="0.25">
      <c r="A41" s="10" t="s">
        <v>291</v>
      </c>
      <c r="B41" s="10"/>
      <c r="C41" s="10"/>
      <c r="D41" s="10"/>
      <c r="E41" s="10"/>
      <c r="F41" s="10"/>
      <c r="G41" s="10"/>
      <c r="H41" s="10"/>
      <c r="I41" s="10"/>
      <c r="J41" s="10"/>
      <c r="K41" s="10">
        <v>208077</v>
      </c>
      <c r="L41" s="10"/>
      <c r="M41" s="10">
        <v>103869</v>
      </c>
      <c r="N41" s="10">
        <v>44072</v>
      </c>
      <c r="O41" s="10">
        <v>35270</v>
      </c>
      <c r="P41" s="10">
        <v>-2891</v>
      </c>
      <c r="Q41" s="10">
        <v>-1841</v>
      </c>
      <c r="R41" s="10">
        <v>1838</v>
      </c>
      <c r="S41" s="10">
        <v>2716</v>
      </c>
      <c r="T41" s="10"/>
      <c r="U41" s="10"/>
      <c r="V41" s="10">
        <v>106869</v>
      </c>
      <c r="W41" s="10">
        <v>91941</v>
      </c>
      <c r="X41" s="10"/>
      <c r="Y41" s="10">
        <v>1199</v>
      </c>
      <c r="Z41" s="10">
        <v>-1481867</v>
      </c>
      <c r="AA41" s="10">
        <v>-1002597</v>
      </c>
      <c r="AB41" s="10">
        <v>3448482</v>
      </c>
      <c r="AC41" s="10">
        <v>2926366</v>
      </c>
      <c r="AD41" s="10"/>
      <c r="AE41" s="10">
        <v>202514</v>
      </c>
      <c r="AF41" s="10">
        <v>641</v>
      </c>
      <c r="AG41" s="10">
        <v>140</v>
      </c>
      <c r="AH41" s="10">
        <v>249975</v>
      </c>
      <c r="AI41" s="10">
        <v>423528</v>
      </c>
      <c r="AJ41" s="10">
        <v>-79899</v>
      </c>
      <c r="AK41" s="10">
        <v>-117389</v>
      </c>
      <c r="AL41" s="10"/>
      <c r="AM41" s="10"/>
      <c r="AN41" s="10"/>
      <c r="AO41" s="10"/>
      <c r="AP41" s="10">
        <v>0</v>
      </c>
      <c r="AQ41" s="10">
        <v>2887581.7609999999</v>
      </c>
      <c r="AR41" s="10">
        <v>5823094</v>
      </c>
      <c r="AS41" s="10">
        <v>5823094</v>
      </c>
      <c r="AT41" s="10">
        <v>0</v>
      </c>
      <c r="AU41" s="10">
        <v>3205119</v>
      </c>
      <c r="AV41" s="10"/>
      <c r="AW41" s="10">
        <v>927</v>
      </c>
      <c r="AX41" s="10">
        <v>388203</v>
      </c>
      <c r="AY41" s="10">
        <v>324591</v>
      </c>
      <c r="AZ41" s="10"/>
      <c r="BA41" s="10"/>
      <c r="BB41" s="10"/>
      <c r="BC41" s="10"/>
      <c r="BD41" s="10"/>
      <c r="BE41" s="10">
        <v>-1001428</v>
      </c>
      <c r="BF41" s="10">
        <v>84056</v>
      </c>
      <c r="BG41" s="10">
        <v>63931</v>
      </c>
      <c r="BH41" s="10">
        <v>109631</v>
      </c>
      <c r="BI41" s="10">
        <v>64001</v>
      </c>
      <c r="BJ41" s="10"/>
      <c r="BK41" s="10"/>
      <c r="BL41" s="10"/>
      <c r="BM41" s="10">
        <v>58708</v>
      </c>
      <c r="BN41" s="10">
        <v>5159163</v>
      </c>
      <c r="BO41" s="10">
        <v>4163346</v>
      </c>
      <c r="BP41" s="10"/>
      <c r="BQ41" s="10">
        <v>67958</v>
      </c>
      <c r="BR41" s="85">
        <f t="shared" si="6"/>
        <v>13851367</v>
      </c>
      <c r="BS41" s="85">
        <f t="shared" si="7"/>
        <v>18531621.761</v>
      </c>
    </row>
    <row r="42" spans="1:71" x14ac:dyDescent="0.25">
      <c r="A42" s="26" t="s">
        <v>306</v>
      </c>
      <c r="B42" s="10"/>
      <c r="C42" s="10"/>
      <c r="D42" s="10"/>
      <c r="E42" s="10"/>
      <c r="F42" s="10"/>
      <c r="G42" s="10"/>
      <c r="H42" s="10"/>
      <c r="I42" s="10"/>
      <c r="J42" s="10">
        <v>118789</v>
      </c>
      <c r="K42" s="10">
        <v>405338</v>
      </c>
      <c r="L42" s="10"/>
      <c r="M42" s="10"/>
      <c r="N42" s="10">
        <v>21791</v>
      </c>
      <c r="O42" s="10">
        <v>70828</v>
      </c>
      <c r="P42" s="10">
        <v>482</v>
      </c>
      <c r="Q42" s="10">
        <v>1531</v>
      </c>
      <c r="R42" s="10">
        <v>679</v>
      </c>
      <c r="S42" s="10">
        <v>-199</v>
      </c>
      <c r="T42" s="10"/>
      <c r="U42" s="10"/>
      <c r="V42" s="10"/>
      <c r="W42" s="10"/>
      <c r="X42" s="10"/>
      <c r="Y42" s="10"/>
      <c r="Z42" s="10">
        <v>396072</v>
      </c>
      <c r="AA42" s="10">
        <v>1295355</v>
      </c>
      <c r="AB42" s="10">
        <v>386576</v>
      </c>
      <c r="AC42" s="10">
        <v>1337310</v>
      </c>
      <c r="AD42" s="10">
        <v>57136</v>
      </c>
      <c r="AE42" s="10">
        <v>238194</v>
      </c>
      <c r="AF42" s="10">
        <v>51</v>
      </c>
      <c r="AG42" s="10">
        <v>552</v>
      </c>
      <c r="AH42" s="10">
        <v>-5906</v>
      </c>
      <c r="AI42" s="10">
        <v>-117643</v>
      </c>
      <c r="AJ42" s="10">
        <v>24598</v>
      </c>
      <c r="AK42" s="10">
        <v>-10509</v>
      </c>
      <c r="AL42" s="10"/>
      <c r="AM42" s="10"/>
      <c r="AN42" s="10"/>
      <c r="AO42" s="10"/>
      <c r="AP42" s="10"/>
      <c r="AQ42" s="10"/>
      <c r="AR42" s="10">
        <v>2374194</v>
      </c>
      <c r="AS42" s="10">
        <v>3167247</v>
      </c>
      <c r="AT42" s="10">
        <v>52411</v>
      </c>
      <c r="AU42" s="10">
        <v>1568606</v>
      </c>
      <c r="AV42" s="10">
        <v>218</v>
      </c>
      <c r="AW42" s="10">
        <v>760</v>
      </c>
      <c r="AX42" s="10"/>
      <c r="AY42" s="10"/>
      <c r="AZ42" s="10"/>
      <c r="BA42" s="10"/>
      <c r="BB42" s="10"/>
      <c r="BC42" s="10"/>
      <c r="BD42" s="10">
        <v>30733</v>
      </c>
      <c r="BE42" s="10">
        <v>226032</v>
      </c>
      <c r="BF42" s="10"/>
      <c r="BG42" s="10"/>
      <c r="BH42" s="10"/>
      <c r="BI42" s="10"/>
      <c r="BJ42" s="10"/>
      <c r="BK42" s="10"/>
      <c r="BL42" s="10">
        <v>44399</v>
      </c>
      <c r="BM42" s="10">
        <v>119996</v>
      </c>
      <c r="BN42" s="10">
        <v>-97046</v>
      </c>
      <c r="BO42" s="10">
        <v>1896033</v>
      </c>
      <c r="BP42" s="10">
        <v>54306</v>
      </c>
      <c r="BQ42" s="10">
        <v>42390</v>
      </c>
      <c r="BR42" s="85">
        <f t="shared" si="6"/>
        <v>3459483</v>
      </c>
      <c r="BS42" s="85">
        <f t="shared" si="7"/>
        <v>10241821</v>
      </c>
    </row>
    <row r="43" spans="1:71" x14ac:dyDescent="0.25">
      <c r="A43" s="26" t="s">
        <v>289</v>
      </c>
      <c r="B43" s="10"/>
      <c r="C43" s="10"/>
      <c r="D43" s="10"/>
      <c r="E43" s="10"/>
      <c r="F43" s="10"/>
      <c r="G43" s="10"/>
      <c r="H43" s="10"/>
      <c r="I43" s="10"/>
      <c r="J43">
        <v>295</v>
      </c>
      <c r="K43" s="10">
        <v>1817</v>
      </c>
      <c r="L43" s="10">
        <v>16</v>
      </c>
      <c r="M43" s="10">
        <v>41</v>
      </c>
      <c r="N43" s="10">
        <v>-150</v>
      </c>
      <c r="O43" s="10">
        <v>-19</v>
      </c>
      <c r="P43" s="10">
        <v>2</v>
      </c>
      <c r="Q43" s="10">
        <v>5</v>
      </c>
      <c r="R43" s="10">
        <v>11</v>
      </c>
      <c r="S43" s="10">
        <v>27</v>
      </c>
      <c r="T43" s="10"/>
      <c r="U43" s="10"/>
      <c r="V43" s="10"/>
      <c r="W43" s="10">
        <v>2933</v>
      </c>
      <c r="X43" s="10">
        <v>10</v>
      </c>
      <c r="Y43" s="10">
        <v>34</v>
      </c>
      <c r="Z43" s="10">
        <v>3680</v>
      </c>
      <c r="AA43" s="10">
        <v>13167</v>
      </c>
      <c r="AB43" s="10">
        <v>30154</v>
      </c>
      <c r="AC43" s="10">
        <v>34177</v>
      </c>
      <c r="AD43" s="10">
        <v>129</v>
      </c>
      <c r="AE43" s="10">
        <v>129</v>
      </c>
      <c r="AF43" s="10">
        <v>11</v>
      </c>
      <c r="AG43" s="10">
        <v>27</v>
      </c>
      <c r="AH43" s="10">
        <v>22</v>
      </c>
      <c r="AI43" s="10">
        <v>56</v>
      </c>
      <c r="AJ43" s="10"/>
      <c r="AK43" s="10"/>
      <c r="AL43" s="10"/>
      <c r="AM43" s="10"/>
      <c r="AN43" s="10"/>
      <c r="AO43" s="10"/>
      <c r="AP43" s="10">
        <v>29065.567999999999</v>
      </c>
      <c r="AQ43" s="10">
        <v>129341.833</v>
      </c>
      <c r="AR43" s="10">
        <v>83657</v>
      </c>
      <c r="AS43" s="10">
        <v>565251</v>
      </c>
      <c r="AT43" s="10">
        <v>134300</v>
      </c>
      <c r="AU43" s="10">
        <v>421739</v>
      </c>
      <c r="AV43" s="10">
        <v>1</v>
      </c>
      <c r="AW43" s="10">
        <v>3</v>
      </c>
      <c r="AX43" s="10">
        <v>200</v>
      </c>
      <c r="AY43" s="10">
        <v>265</v>
      </c>
      <c r="AZ43" s="10"/>
      <c r="BA43" s="10"/>
      <c r="BB43" s="10"/>
      <c r="BC43" s="10"/>
      <c r="BD43" s="10">
        <v>474</v>
      </c>
      <c r="BE43" s="10">
        <v>1258</v>
      </c>
      <c r="BF43" s="10">
        <v>16</v>
      </c>
      <c r="BG43" s="10">
        <v>42</v>
      </c>
      <c r="BH43" s="10">
        <v>21</v>
      </c>
      <c r="BI43" s="10">
        <v>54</v>
      </c>
      <c r="BJ43" s="10"/>
      <c r="BK43" s="10"/>
      <c r="BL43" s="10">
        <v>10671</v>
      </c>
      <c r="BM43" s="10">
        <v>24676</v>
      </c>
      <c r="BN43" s="10">
        <v>6642</v>
      </c>
      <c r="BO43" s="10">
        <v>43642</v>
      </c>
      <c r="BP43" s="10">
        <v>10</v>
      </c>
      <c r="BQ43" s="10">
        <v>27</v>
      </c>
      <c r="BR43" s="85">
        <f t="shared" si="6"/>
        <v>299237.56799999997</v>
      </c>
      <c r="BS43" s="85">
        <f t="shared" si="7"/>
        <v>1238692.8330000001</v>
      </c>
    </row>
    <row r="44" spans="1:71" x14ac:dyDescent="0.25">
      <c r="A44" s="26" t="s">
        <v>290</v>
      </c>
      <c r="B44" s="10"/>
      <c r="C44" s="10"/>
      <c r="D44" s="10"/>
      <c r="E44" s="10"/>
      <c r="F44" s="10"/>
      <c r="G44" s="10"/>
      <c r="H44" s="10"/>
      <c r="I44" s="10"/>
      <c r="J44" s="10">
        <v>113919</v>
      </c>
      <c r="K44" s="10">
        <v>302397</v>
      </c>
      <c r="L44" s="10">
        <v>13812</v>
      </c>
      <c r="M44" s="10">
        <v>239446</v>
      </c>
      <c r="N44" s="10">
        <v>4944</v>
      </c>
      <c r="O44" s="10">
        <v>30621</v>
      </c>
      <c r="P44" s="10"/>
      <c r="Q44" s="10"/>
      <c r="R44" s="10">
        <v>16</v>
      </c>
      <c r="S44" s="10">
        <v>-2681</v>
      </c>
      <c r="T44" s="10"/>
      <c r="U44" s="10"/>
      <c r="V44" s="10">
        <v>26982</v>
      </c>
      <c r="W44" s="10">
        <v>87334</v>
      </c>
      <c r="X44" s="10">
        <v>-6</v>
      </c>
      <c r="Y44" s="10">
        <v>1</v>
      </c>
      <c r="Z44" s="10">
        <v>-97897</v>
      </c>
      <c r="AA44" s="10">
        <v>-308891</v>
      </c>
      <c r="AB44" s="10">
        <v>206478</v>
      </c>
      <c r="AC44" s="10">
        <v>508001</v>
      </c>
      <c r="AD44" s="10">
        <v>34408</v>
      </c>
      <c r="AE44" s="10">
        <v>116126</v>
      </c>
      <c r="AF44" s="10"/>
      <c r="AG44" s="10"/>
      <c r="AH44" s="10">
        <v>32240</v>
      </c>
      <c r="AI44" s="10">
        <v>73167</v>
      </c>
      <c r="AJ44" s="10">
        <v>-3382</v>
      </c>
      <c r="AK44" s="10">
        <v>-4701</v>
      </c>
      <c r="AL44" s="10"/>
      <c r="AM44" s="10"/>
      <c r="AN44" s="10"/>
      <c r="AO44" s="10"/>
      <c r="AP44" s="10">
        <v>60937.948000000004</v>
      </c>
      <c r="AQ44" s="10">
        <v>126853.31</v>
      </c>
      <c r="AR44" s="10">
        <v>139290</v>
      </c>
      <c r="AS44" s="10">
        <v>577419</v>
      </c>
      <c r="AT44" s="10">
        <v>-5647</v>
      </c>
      <c r="AU44" s="10">
        <v>553593</v>
      </c>
      <c r="AV44" s="10">
        <v>80</v>
      </c>
      <c r="AW44" s="10">
        <v>211</v>
      </c>
      <c r="AX44" s="10">
        <v>52813</v>
      </c>
      <c r="AY44" s="10">
        <v>82581</v>
      </c>
      <c r="AZ44" s="10"/>
      <c r="BA44" s="10"/>
      <c r="BB44" s="10"/>
      <c r="BC44" s="10"/>
      <c r="BD44" s="10">
        <v>-76663</v>
      </c>
      <c r="BE44" s="10">
        <v>-131771</v>
      </c>
      <c r="BF44" s="10">
        <v>92433</v>
      </c>
      <c r="BG44" s="10">
        <v>101612</v>
      </c>
      <c r="BH44" s="10">
        <v>5336</v>
      </c>
      <c r="BI44" s="10">
        <v>19213</v>
      </c>
      <c r="BJ44" s="10"/>
      <c r="BK44" s="10"/>
      <c r="BL44" s="10">
        <v>61671</v>
      </c>
      <c r="BM44" s="10">
        <v>131238</v>
      </c>
      <c r="BN44" s="10">
        <v>98633</v>
      </c>
      <c r="BO44" s="10">
        <v>411117</v>
      </c>
      <c r="BP44" s="10">
        <v>1017</v>
      </c>
      <c r="BQ44" s="10">
        <v>7132</v>
      </c>
      <c r="BR44" s="85">
        <f t="shared" si="6"/>
        <v>761414.94799999997</v>
      </c>
      <c r="BS44" s="85">
        <f t="shared" si="7"/>
        <v>2920018.31</v>
      </c>
    </row>
    <row r="45" spans="1:71" x14ac:dyDescent="0.25">
      <c r="A45" s="26" t="s">
        <v>286</v>
      </c>
      <c r="B45" s="10"/>
      <c r="C45" s="10"/>
      <c r="D45" s="10"/>
      <c r="E45" s="10"/>
      <c r="F45" s="10"/>
      <c r="G45" s="10"/>
      <c r="H45" s="10"/>
      <c r="I45" s="10"/>
      <c r="J45" s="10">
        <v>5165</v>
      </c>
      <c r="K45" s="10">
        <v>104758</v>
      </c>
      <c r="L45" s="10">
        <v>16858</v>
      </c>
      <c r="M45" s="10">
        <v>51796</v>
      </c>
      <c r="N45" s="10">
        <v>16697</v>
      </c>
      <c r="O45" s="10">
        <v>40188</v>
      </c>
      <c r="P45" s="10">
        <v>16</v>
      </c>
      <c r="Q45" s="10">
        <v>89</v>
      </c>
      <c r="R45" s="10">
        <v>674</v>
      </c>
      <c r="S45" s="10">
        <v>2509</v>
      </c>
      <c r="T45" s="10"/>
      <c r="U45" s="10"/>
      <c r="V45" s="10">
        <v>12895</v>
      </c>
      <c r="W45" s="10">
        <v>41722</v>
      </c>
      <c r="X45" s="10">
        <v>458</v>
      </c>
      <c r="Y45" s="10">
        <v>3207</v>
      </c>
      <c r="Z45" s="10">
        <v>203486</v>
      </c>
      <c r="AA45" s="10">
        <v>457598</v>
      </c>
      <c r="AB45" s="10">
        <v>94639</v>
      </c>
      <c r="AC45" s="10">
        <v>281735</v>
      </c>
      <c r="AD45" s="10">
        <v>22857</v>
      </c>
      <c r="AE45" s="10">
        <v>122197</v>
      </c>
      <c r="AF45" s="10">
        <v>62</v>
      </c>
      <c r="AG45" s="10">
        <v>579</v>
      </c>
      <c r="AH45" s="10">
        <v>3144</v>
      </c>
      <c r="AI45" s="10">
        <v>-507</v>
      </c>
      <c r="AJ45" s="10">
        <v>7736</v>
      </c>
      <c r="AK45" s="10">
        <v>9759</v>
      </c>
      <c r="AL45" s="10"/>
      <c r="AM45" s="10"/>
      <c r="AN45" s="10"/>
      <c r="AO45" s="10"/>
      <c r="AP45" s="10">
        <v>587461.65078131959</v>
      </c>
      <c r="AQ45" s="10">
        <v>1191432.75</v>
      </c>
      <c r="AR45" s="10">
        <v>2041814</v>
      </c>
      <c r="AS45" s="10">
        <v>2878332</v>
      </c>
      <c r="AT45" s="10">
        <v>192358</v>
      </c>
      <c r="AU45" s="10">
        <v>1436752</v>
      </c>
      <c r="AV45" s="10">
        <v>139</v>
      </c>
      <c r="AW45" s="10">
        <v>552</v>
      </c>
      <c r="AX45" s="10">
        <v>69174</v>
      </c>
      <c r="AY45" s="10">
        <v>175426</v>
      </c>
      <c r="AZ45" s="10"/>
      <c r="BA45" s="10"/>
      <c r="BB45" s="10"/>
      <c r="BC45" s="10"/>
      <c r="BD45" s="10">
        <v>9662</v>
      </c>
      <c r="BE45" s="10">
        <v>28628</v>
      </c>
      <c r="BF45" s="10">
        <v>-1158</v>
      </c>
      <c r="BG45" s="10">
        <v>34392</v>
      </c>
      <c r="BH45" s="10">
        <v>9948</v>
      </c>
      <c r="BI45" s="10">
        <v>90217</v>
      </c>
      <c r="BJ45" s="10"/>
      <c r="BK45" s="10"/>
      <c r="BL45" s="10">
        <v>-6601</v>
      </c>
      <c r="BM45" s="10">
        <v>13434</v>
      </c>
      <c r="BN45" s="10">
        <v>-189037</v>
      </c>
      <c r="BO45" s="10">
        <v>1528558</v>
      </c>
      <c r="BP45" s="10">
        <v>53299</v>
      </c>
      <c r="BQ45" s="10">
        <v>35285</v>
      </c>
      <c r="BR45" s="85">
        <f>SUM(B45+D45+F45+H45+J45+L45+N45+P45+R45+T45+V45+X45+Z45+AB45+AD45+AF45+AH45+AJ45+AL45+AN45+AP45+AR45+AT45+AV45+AX45+AZ45+BB45+BD45+BF45+BH45+BJ45+BL45+BN45+BP45)</f>
        <v>3151746.6507813195</v>
      </c>
      <c r="BS45" s="85">
        <f>SUM(C45+E45+G45+I45+K45+M45+O45+Q45+S45+U45+W45+Y45+AA45+AC45+AE45+AG45+AI45+AK45+AM45+AO45+AQ45+AS45+AU45+AW45+AY45+BA45+BC45+BE45+BG45+BI45+BK45+BM45+BO45+BQ45)</f>
        <v>8528638.75</v>
      </c>
    </row>
    <row r="46" spans="1:71" x14ac:dyDescent="0.25">
      <c r="A46" s="18"/>
    </row>
    <row r="47" spans="1:71" x14ac:dyDescent="0.25">
      <c r="A47" s="33" t="s">
        <v>233</v>
      </c>
    </row>
    <row r="48" spans="1:71" x14ac:dyDescent="0.25">
      <c r="A48" s="3" t="s">
        <v>0</v>
      </c>
      <c r="B48" s="107" t="s">
        <v>1</v>
      </c>
      <c r="C48" s="108"/>
      <c r="D48" s="107" t="s">
        <v>2</v>
      </c>
      <c r="E48" s="108"/>
      <c r="F48" s="107" t="s">
        <v>3</v>
      </c>
      <c r="G48" s="108"/>
      <c r="H48" s="107" t="s">
        <v>307</v>
      </c>
      <c r="I48" s="108"/>
      <c r="J48" s="107" t="s">
        <v>5</v>
      </c>
      <c r="K48" s="108"/>
      <c r="L48" s="107" t="s">
        <v>6</v>
      </c>
      <c r="M48" s="108"/>
      <c r="N48" s="107" t="s">
        <v>7</v>
      </c>
      <c r="O48" s="108"/>
      <c r="P48" s="107" t="s">
        <v>8</v>
      </c>
      <c r="Q48" s="108"/>
      <c r="R48" s="107" t="s">
        <v>9</v>
      </c>
      <c r="S48" s="108"/>
      <c r="T48" s="107" t="s">
        <v>10</v>
      </c>
      <c r="U48" s="108"/>
      <c r="V48" s="107" t="s">
        <v>11</v>
      </c>
      <c r="W48" s="108"/>
      <c r="X48" s="107" t="s">
        <v>12</v>
      </c>
      <c r="Y48" s="108"/>
      <c r="Z48" s="107" t="s">
        <v>13</v>
      </c>
      <c r="AA48" s="108"/>
      <c r="AB48" s="107" t="s">
        <v>14</v>
      </c>
      <c r="AC48" s="108"/>
      <c r="AD48" s="107" t="s">
        <v>15</v>
      </c>
      <c r="AE48" s="108"/>
      <c r="AF48" s="107" t="s">
        <v>16</v>
      </c>
      <c r="AG48" s="108"/>
      <c r="AH48" s="107" t="s">
        <v>17</v>
      </c>
      <c r="AI48" s="108"/>
      <c r="AJ48" s="107" t="s">
        <v>18</v>
      </c>
      <c r="AK48" s="108"/>
      <c r="AL48" s="107" t="s">
        <v>296</v>
      </c>
      <c r="AM48" s="108"/>
      <c r="AN48" s="107" t="s">
        <v>19</v>
      </c>
      <c r="AO48" s="108"/>
      <c r="AP48" s="107" t="s">
        <v>20</v>
      </c>
      <c r="AQ48" s="108"/>
      <c r="AR48" s="107" t="s">
        <v>21</v>
      </c>
      <c r="AS48" s="108"/>
      <c r="AT48" s="107" t="s">
        <v>22</v>
      </c>
      <c r="AU48" s="108"/>
      <c r="AV48" s="107" t="s">
        <v>23</v>
      </c>
      <c r="AW48" s="108"/>
      <c r="AX48" s="107" t="s">
        <v>24</v>
      </c>
      <c r="AY48" s="108"/>
      <c r="AZ48" s="107" t="s">
        <v>25</v>
      </c>
      <c r="BA48" s="108"/>
      <c r="BB48" s="107" t="s">
        <v>26</v>
      </c>
      <c r="BC48" s="108"/>
      <c r="BD48" s="107" t="s">
        <v>27</v>
      </c>
      <c r="BE48" s="108"/>
      <c r="BF48" s="107" t="s">
        <v>28</v>
      </c>
      <c r="BG48" s="108"/>
      <c r="BH48" s="107" t="s">
        <v>29</v>
      </c>
      <c r="BI48" s="108"/>
      <c r="BJ48" s="107" t="s">
        <v>30</v>
      </c>
      <c r="BK48" s="108"/>
      <c r="BL48" s="107" t="s">
        <v>31</v>
      </c>
      <c r="BM48" s="108"/>
      <c r="BN48" s="111" t="s">
        <v>32</v>
      </c>
      <c r="BO48" s="112"/>
      <c r="BP48" s="107" t="s">
        <v>33</v>
      </c>
      <c r="BQ48" s="108"/>
      <c r="BR48" s="109" t="s">
        <v>34</v>
      </c>
      <c r="BS48" s="110"/>
    </row>
    <row r="49" spans="1:71" ht="30" x14ac:dyDescent="0.25">
      <c r="A49" s="3"/>
      <c r="B49" s="66" t="s">
        <v>294</v>
      </c>
      <c r="C49" s="67" t="s">
        <v>295</v>
      </c>
      <c r="D49" s="66" t="s">
        <v>294</v>
      </c>
      <c r="E49" s="67" t="s">
        <v>295</v>
      </c>
      <c r="F49" s="66" t="s">
        <v>294</v>
      </c>
      <c r="G49" s="67" t="s">
        <v>295</v>
      </c>
      <c r="H49" s="66" t="s">
        <v>294</v>
      </c>
      <c r="I49" s="67" t="s">
        <v>295</v>
      </c>
      <c r="J49" s="66" t="s">
        <v>294</v>
      </c>
      <c r="K49" s="67" t="s">
        <v>295</v>
      </c>
      <c r="L49" s="66" t="s">
        <v>294</v>
      </c>
      <c r="M49" s="67" t="s">
        <v>295</v>
      </c>
      <c r="N49" s="66" t="s">
        <v>294</v>
      </c>
      <c r="O49" s="67" t="s">
        <v>295</v>
      </c>
      <c r="P49" s="66" t="s">
        <v>294</v>
      </c>
      <c r="Q49" s="67" t="s">
        <v>295</v>
      </c>
      <c r="R49" s="66" t="s">
        <v>294</v>
      </c>
      <c r="S49" s="67" t="s">
        <v>295</v>
      </c>
      <c r="T49" s="66" t="s">
        <v>294</v>
      </c>
      <c r="U49" s="67" t="s">
        <v>295</v>
      </c>
      <c r="V49" s="66" t="s">
        <v>294</v>
      </c>
      <c r="W49" s="67" t="s">
        <v>295</v>
      </c>
      <c r="X49" s="66" t="s">
        <v>294</v>
      </c>
      <c r="Y49" s="67" t="s">
        <v>295</v>
      </c>
      <c r="Z49" s="66" t="s">
        <v>294</v>
      </c>
      <c r="AA49" s="67" t="s">
        <v>295</v>
      </c>
      <c r="AB49" s="66" t="s">
        <v>294</v>
      </c>
      <c r="AC49" s="67" t="s">
        <v>295</v>
      </c>
      <c r="AD49" s="66" t="s">
        <v>294</v>
      </c>
      <c r="AE49" s="67" t="s">
        <v>295</v>
      </c>
      <c r="AF49" s="66" t="s">
        <v>294</v>
      </c>
      <c r="AG49" s="67" t="s">
        <v>295</v>
      </c>
      <c r="AH49" s="66" t="s">
        <v>294</v>
      </c>
      <c r="AI49" s="67" t="s">
        <v>295</v>
      </c>
      <c r="AJ49" s="66" t="s">
        <v>294</v>
      </c>
      <c r="AK49" s="67" t="s">
        <v>295</v>
      </c>
      <c r="AL49" s="66" t="s">
        <v>294</v>
      </c>
      <c r="AM49" s="67" t="s">
        <v>295</v>
      </c>
      <c r="AN49" s="66" t="s">
        <v>294</v>
      </c>
      <c r="AO49" s="67" t="s">
        <v>295</v>
      </c>
      <c r="AP49" s="66" t="s">
        <v>294</v>
      </c>
      <c r="AQ49" s="67" t="s">
        <v>295</v>
      </c>
      <c r="AR49" s="66" t="s">
        <v>294</v>
      </c>
      <c r="AS49" s="67" t="s">
        <v>295</v>
      </c>
      <c r="AT49" s="66" t="s">
        <v>294</v>
      </c>
      <c r="AU49" s="67" t="s">
        <v>295</v>
      </c>
      <c r="AV49" s="66" t="s">
        <v>294</v>
      </c>
      <c r="AW49" s="67" t="s">
        <v>295</v>
      </c>
      <c r="AX49" s="66" t="s">
        <v>294</v>
      </c>
      <c r="AY49" s="67" t="s">
        <v>295</v>
      </c>
      <c r="AZ49" s="66" t="s">
        <v>294</v>
      </c>
      <c r="BA49" s="67" t="s">
        <v>295</v>
      </c>
      <c r="BB49" s="66" t="s">
        <v>294</v>
      </c>
      <c r="BC49" s="67" t="s">
        <v>295</v>
      </c>
      <c r="BD49" s="66" t="s">
        <v>294</v>
      </c>
      <c r="BE49" s="67" t="s">
        <v>295</v>
      </c>
      <c r="BF49" s="66" t="s">
        <v>294</v>
      </c>
      <c r="BG49" s="67" t="s">
        <v>295</v>
      </c>
      <c r="BH49" s="66" t="s">
        <v>294</v>
      </c>
      <c r="BI49" s="67" t="s">
        <v>295</v>
      </c>
      <c r="BJ49" s="66" t="s">
        <v>294</v>
      </c>
      <c r="BK49" s="67" t="s">
        <v>295</v>
      </c>
      <c r="BL49" s="66" t="s">
        <v>294</v>
      </c>
      <c r="BM49" s="67" t="s">
        <v>295</v>
      </c>
      <c r="BN49" s="66" t="s">
        <v>294</v>
      </c>
      <c r="BO49" s="67" t="s">
        <v>295</v>
      </c>
      <c r="BP49" s="66" t="s">
        <v>294</v>
      </c>
      <c r="BQ49" s="67" t="s">
        <v>295</v>
      </c>
      <c r="BR49" s="66" t="s">
        <v>294</v>
      </c>
      <c r="BS49" s="67" t="s">
        <v>295</v>
      </c>
    </row>
    <row r="50" spans="1:71" x14ac:dyDescent="0.25">
      <c r="A50" s="26" t="s">
        <v>241</v>
      </c>
      <c r="B50" s="10">
        <v>45202</v>
      </c>
      <c r="C50" s="10">
        <v>117102</v>
      </c>
      <c r="D50" s="7">
        <v>802243</v>
      </c>
      <c r="E50" s="10">
        <v>2115562</v>
      </c>
      <c r="F50" s="10"/>
      <c r="G50" s="10"/>
      <c r="H50" s="10">
        <v>4096535</v>
      </c>
      <c r="I50" s="10">
        <v>11084186</v>
      </c>
      <c r="J50" s="10">
        <v>5157905</v>
      </c>
      <c r="K50" s="10">
        <v>14895853</v>
      </c>
      <c r="L50" s="10">
        <v>562088</v>
      </c>
      <c r="M50" s="10">
        <v>1626717</v>
      </c>
      <c r="N50" s="10">
        <v>410687</v>
      </c>
      <c r="O50" s="10">
        <v>1050091</v>
      </c>
      <c r="P50" s="10">
        <v>47624</v>
      </c>
      <c r="Q50" s="10">
        <v>180918</v>
      </c>
      <c r="R50" s="10">
        <v>150501</v>
      </c>
      <c r="S50" s="10">
        <v>356793</v>
      </c>
      <c r="T50" s="10"/>
      <c r="U50" s="10"/>
      <c r="V50" s="10">
        <v>731913</v>
      </c>
      <c r="W50" s="10">
        <v>1881984</v>
      </c>
      <c r="X50" s="10">
        <v>23166</v>
      </c>
      <c r="Y50" s="10">
        <v>44263</v>
      </c>
      <c r="Z50" s="10">
        <v>2037964</v>
      </c>
      <c r="AA50" s="10">
        <v>5747725</v>
      </c>
      <c r="AB50" s="10">
        <v>4328956</v>
      </c>
      <c r="AC50" s="10">
        <v>11504431</v>
      </c>
      <c r="AD50" s="10">
        <v>3202339</v>
      </c>
      <c r="AE50" s="10">
        <v>7420140</v>
      </c>
      <c r="AF50" s="10">
        <v>73060</v>
      </c>
      <c r="AG50" s="10">
        <v>201754</v>
      </c>
      <c r="AH50" s="10">
        <v>476269</v>
      </c>
      <c r="AI50" s="10">
        <v>1381028</v>
      </c>
      <c r="AJ50" s="10">
        <v>30104</v>
      </c>
      <c r="AK50" s="10">
        <v>361283</v>
      </c>
      <c r="AL50" s="10">
        <v>849045</v>
      </c>
      <c r="AM50" s="10">
        <v>2266310</v>
      </c>
      <c r="AN50" s="10">
        <v>1436531</v>
      </c>
      <c r="AO50" s="10">
        <v>3566313</v>
      </c>
      <c r="AP50" s="10">
        <v>14829393.420000002</v>
      </c>
      <c r="AQ50" s="10">
        <v>41241141.450000003</v>
      </c>
      <c r="AR50" s="10">
        <v>23687254</v>
      </c>
      <c r="AS50" s="10">
        <v>65716981</v>
      </c>
      <c r="AT50" s="10">
        <v>11474161</v>
      </c>
      <c r="AU50" s="10">
        <v>30428939</v>
      </c>
      <c r="AV50" s="10">
        <v>553</v>
      </c>
      <c r="AW50" s="10">
        <v>553</v>
      </c>
      <c r="AX50" s="10">
        <v>3026969</v>
      </c>
      <c r="AY50" s="10">
        <v>7856592</v>
      </c>
      <c r="AZ50" s="10"/>
      <c r="BA50" s="10"/>
      <c r="BB50" s="10">
        <v>3623992</v>
      </c>
      <c r="BC50" s="10">
        <v>9742118</v>
      </c>
      <c r="BD50" s="10">
        <v>643102</v>
      </c>
      <c r="BE50" s="10">
        <v>1639406</v>
      </c>
      <c r="BF50" s="10">
        <v>826547</v>
      </c>
      <c r="BG50" s="10">
        <v>2287199</v>
      </c>
      <c r="BH50" s="10">
        <v>1199</v>
      </c>
      <c r="BI50" s="10">
        <v>1789</v>
      </c>
      <c r="BJ50" s="10"/>
      <c r="BK50" s="10"/>
      <c r="BL50" s="10">
        <v>1247304</v>
      </c>
      <c r="BM50" s="10">
        <v>3427670</v>
      </c>
      <c r="BN50" s="10">
        <v>13557807</v>
      </c>
      <c r="BO50" s="10">
        <v>38039947</v>
      </c>
      <c r="BP50" s="10">
        <v>332371</v>
      </c>
      <c r="BQ50" s="10">
        <v>902588</v>
      </c>
      <c r="BR50" s="85">
        <f>SUM(B50+D50+F50+H50+J50+L50+N50+P50+R50+T50+V50+X50+Z50+AB50+AD50+AF50+AH50+AJ50+AL50+AN50+AP50+AR50+AT50+AV50+AX50+AZ50+BB50+BD50+BF50+BH50+BJ50+BL50+BN50+BP50)</f>
        <v>97712784.420000002</v>
      </c>
      <c r="BS50" s="85">
        <f>SUM(C50+E50+G50+I50+K50+M50+O50+Q50+S50+U50+W50+Y50+AA50+AC50+AE50+AG50+AI50+AK50+AM50+AO50+AQ50+AS50+AU50+AW50+AY50+BA50+BC50+BE50+BG50+BI50+BK50+BM50+BO50+BQ50)</f>
        <v>267087376.44999999</v>
      </c>
    </row>
    <row r="51" spans="1:71" x14ac:dyDescent="0.25">
      <c r="A51" s="10" t="s">
        <v>292</v>
      </c>
      <c r="B51" s="10">
        <v>94957</v>
      </c>
      <c r="C51" s="10">
        <v>94957</v>
      </c>
      <c r="D51" s="10">
        <v>577673</v>
      </c>
      <c r="E51" s="10">
        <v>577674</v>
      </c>
      <c r="F51" s="10"/>
      <c r="G51" s="10"/>
      <c r="H51" s="10">
        <v>2612033</v>
      </c>
      <c r="I51" s="10">
        <v>2612033</v>
      </c>
      <c r="J51" s="10">
        <v>-261579</v>
      </c>
      <c r="K51" s="10">
        <v>3144796</v>
      </c>
      <c r="L51" s="10">
        <v>65850</v>
      </c>
      <c r="M51" s="10">
        <v>682397</v>
      </c>
      <c r="N51" s="10">
        <v>326215</v>
      </c>
      <c r="O51" s="10">
        <v>326215</v>
      </c>
      <c r="P51" s="10">
        <v>127236</v>
      </c>
      <c r="Q51" s="10">
        <v>127236</v>
      </c>
      <c r="R51" s="10">
        <v>50462</v>
      </c>
      <c r="S51" s="10">
        <v>50462</v>
      </c>
      <c r="T51" s="10"/>
      <c r="U51" s="10"/>
      <c r="V51" s="10">
        <v>328660</v>
      </c>
      <c r="W51" s="10">
        <v>328660</v>
      </c>
      <c r="X51" s="10">
        <v>11460</v>
      </c>
      <c r="Y51" s="10">
        <v>20671</v>
      </c>
      <c r="Z51" s="10">
        <v>2051422</v>
      </c>
      <c r="AA51" s="10">
        <v>2051422</v>
      </c>
      <c r="AB51" s="10">
        <v>6125732</v>
      </c>
      <c r="AC51" s="10">
        <v>6125732</v>
      </c>
      <c r="AD51" s="10">
        <v>-229517</v>
      </c>
      <c r="AE51" s="10">
        <v>1821529</v>
      </c>
      <c r="AF51" s="10">
        <v>93384</v>
      </c>
      <c r="AG51" s="10">
        <v>93384</v>
      </c>
      <c r="AH51" s="10">
        <v>434221</v>
      </c>
      <c r="AI51" s="10">
        <v>434221</v>
      </c>
      <c r="AJ51" s="10">
        <v>83155</v>
      </c>
      <c r="AK51" s="10">
        <v>83155</v>
      </c>
      <c r="AL51" s="10">
        <v>577002</v>
      </c>
      <c r="AM51" s="10">
        <v>577002</v>
      </c>
      <c r="AN51" s="10">
        <v>1274326</v>
      </c>
      <c r="AO51" s="10">
        <v>1274326</v>
      </c>
      <c r="AP51" s="10">
        <v>-2457094.1969969505</v>
      </c>
      <c r="AQ51" s="10">
        <v>5789905.3569999998</v>
      </c>
      <c r="AR51" s="10">
        <v>14131996</v>
      </c>
      <c r="AS51" s="10">
        <v>14131996</v>
      </c>
      <c r="AT51" s="10">
        <v>-533606</v>
      </c>
      <c r="AU51" s="10">
        <v>8946156</v>
      </c>
      <c r="AV51" s="10">
        <v>-565</v>
      </c>
      <c r="AW51" s="10">
        <v>1469</v>
      </c>
      <c r="AX51" s="10">
        <v>4180249</v>
      </c>
      <c r="AY51" s="10">
        <v>4180249</v>
      </c>
      <c r="AZ51" s="10"/>
      <c r="BA51" s="10"/>
      <c r="BB51" s="10">
        <v>2077708</v>
      </c>
      <c r="BC51" s="10">
        <v>2077708</v>
      </c>
      <c r="BD51" s="10">
        <v>22224</v>
      </c>
      <c r="BE51" s="10">
        <v>813421</v>
      </c>
      <c r="BF51" s="10">
        <v>2176607</v>
      </c>
      <c r="BG51" s="10">
        <v>2176607</v>
      </c>
      <c r="BH51" s="10">
        <v>6144</v>
      </c>
      <c r="BI51" s="10">
        <v>6144</v>
      </c>
      <c r="BJ51" s="10"/>
      <c r="BK51" s="10"/>
      <c r="BL51" s="10">
        <v>42349</v>
      </c>
      <c r="BM51" s="10">
        <v>1798706</v>
      </c>
      <c r="BN51" s="10">
        <v>11639319</v>
      </c>
      <c r="BO51" s="10">
        <v>11639319</v>
      </c>
      <c r="BP51" s="10">
        <v>10246</v>
      </c>
      <c r="BQ51" s="10">
        <v>189889</v>
      </c>
      <c r="BR51" s="85">
        <f t="shared" ref="BR51:BR55" si="8">SUM(B51+D51+F51+H51+J51+L51+N51+P51+R51+T51+V51+X51+Z51+AB51+AD51+AF51+AH51+AJ51+AL51+AN51+AP51+AR51+AT51+AV51+AX51+AZ51+BB51+BD51+BF51+BH51+BJ51+BL51+BN51+BP51)</f>
        <v>45638268.80300305</v>
      </c>
      <c r="BS51" s="85">
        <f t="shared" ref="BS51:BS55" si="9">SUM(C51+E51+G51+I51+K51+M51+O51+Q51+S51+U51+W51+Y51+AA51+AC51+AE51+AG51+AI51+AK51+AM51+AO51+AQ51+AS51+AU51+AW51+AY51+BA51+BC51+BE51+BG51+BI51+BK51+BM51+BO51+BQ51)</f>
        <v>72177441.356999993</v>
      </c>
    </row>
    <row r="52" spans="1:71" x14ac:dyDescent="0.25">
      <c r="A52" s="10" t="s">
        <v>291</v>
      </c>
      <c r="B52" s="10">
        <v>70653</v>
      </c>
      <c r="C52" s="10">
        <v>46961</v>
      </c>
      <c r="D52" s="10">
        <v>593818</v>
      </c>
      <c r="E52" s="10">
        <v>410968</v>
      </c>
      <c r="F52" s="10"/>
      <c r="G52" s="10"/>
      <c r="H52" s="10">
        <v>2523864</v>
      </c>
      <c r="I52" s="10">
        <v>1913091</v>
      </c>
      <c r="J52" s="10"/>
      <c r="K52" s="10">
        <v>3105747</v>
      </c>
      <c r="L52" s="10"/>
      <c r="M52" s="10">
        <v>528073</v>
      </c>
      <c r="N52" s="10">
        <v>295958</v>
      </c>
      <c r="O52" s="10">
        <v>254270</v>
      </c>
      <c r="P52" s="10">
        <v>-112891</v>
      </c>
      <c r="Q52" s="10">
        <v>-250484</v>
      </c>
      <c r="R52" s="10">
        <v>78714</v>
      </c>
      <c r="S52" s="10">
        <v>212426</v>
      </c>
      <c r="T52" s="10"/>
      <c r="U52" s="10"/>
      <c r="V52" s="10">
        <v>367140</v>
      </c>
      <c r="W52" s="10">
        <v>304202</v>
      </c>
      <c r="X52" s="10"/>
      <c r="Y52" s="10">
        <v>2593</v>
      </c>
      <c r="Z52" s="10">
        <v>-1854176</v>
      </c>
      <c r="AA52" s="10">
        <v>-1567972</v>
      </c>
      <c r="AB52" s="10">
        <v>6009408</v>
      </c>
      <c r="AC52" s="10">
        <v>5118360</v>
      </c>
      <c r="AD52" s="10"/>
      <c r="AE52" s="10">
        <v>1284820</v>
      </c>
      <c r="AF52" s="10">
        <v>66945</v>
      </c>
      <c r="AG52" s="10">
        <v>45375</v>
      </c>
      <c r="AH52" s="10">
        <v>403290</v>
      </c>
      <c r="AI52" s="10">
        <v>240494</v>
      </c>
      <c r="AJ52" s="10">
        <v>-120354</v>
      </c>
      <c r="AK52" s="10">
        <v>-302685</v>
      </c>
      <c r="AL52" s="10">
        <v>552046</v>
      </c>
      <c r="AM52" s="10">
        <v>443678</v>
      </c>
      <c r="AN52" s="10">
        <v>1380280</v>
      </c>
      <c r="AO52" s="10">
        <v>1034357</v>
      </c>
      <c r="AP52" s="10">
        <v>0</v>
      </c>
      <c r="AQ52" s="10">
        <v>6338330.2010000004</v>
      </c>
      <c r="AR52" s="10">
        <v>11069221</v>
      </c>
      <c r="AS52" s="10">
        <v>11069221</v>
      </c>
      <c r="AT52" s="10">
        <v>0</v>
      </c>
      <c r="AU52" s="10">
        <v>6986292</v>
      </c>
      <c r="AV52" s="10"/>
      <c r="AW52" s="10">
        <v>1139</v>
      </c>
      <c r="AX52" s="10">
        <v>3308578</v>
      </c>
      <c r="AY52" s="10">
        <v>2715256</v>
      </c>
      <c r="AZ52" s="10"/>
      <c r="BA52" s="10"/>
      <c r="BB52" s="10">
        <v>2050478</v>
      </c>
      <c r="BC52" s="10">
        <v>1417361</v>
      </c>
      <c r="BD52" s="10"/>
      <c r="BE52" s="10">
        <v>-560703</v>
      </c>
      <c r="BF52" s="10">
        <v>1910054</v>
      </c>
      <c r="BG52" s="10">
        <v>1650690</v>
      </c>
      <c r="BH52" s="10">
        <v>5475</v>
      </c>
      <c r="BI52" s="10">
        <v>3459</v>
      </c>
      <c r="BJ52" s="10"/>
      <c r="BK52" s="10"/>
      <c r="BL52" s="10"/>
      <c r="BM52" s="10">
        <v>1414686</v>
      </c>
      <c r="BN52" s="10">
        <v>11924220</v>
      </c>
      <c r="BO52" s="10">
        <v>9156590</v>
      </c>
      <c r="BP52" s="10"/>
      <c r="BQ52" s="10">
        <v>136194</v>
      </c>
      <c r="BR52" s="85">
        <f t="shared" si="8"/>
        <v>40522721</v>
      </c>
      <c r="BS52" s="85">
        <f t="shared" si="9"/>
        <v>53152789.201000005</v>
      </c>
    </row>
    <row r="53" spans="1:71" x14ac:dyDescent="0.25">
      <c r="A53" s="26" t="s">
        <v>306</v>
      </c>
      <c r="B53" s="10"/>
      <c r="C53" s="10"/>
      <c r="D53" s="10"/>
      <c r="E53" s="10"/>
      <c r="F53" s="10"/>
      <c r="G53" s="10"/>
      <c r="H53" s="10">
        <v>4184704</v>
      </c>
      <c r="I53" s="10">
        <v>11783128</v>
      </c>
      <c r="J53" s="10">
        <v>4896326</v>
      </c>
      <c r="K53" s="10">
        <v>14934902</v>
      </c>
      <c r="L53" s="10"/>
      <c r="M53" s="10"/>
      <c r="N53" s="10">
        <v>440944</v>
      </c>
      <c r="O53" s="10">
        <v>1122036</v>
      </c>
      <c r="P53" s="10">
        <v>61968</v>
      </c>
      <c r="Q53" s="10">
        <v>57669</v>
      </c>
      <c r="R53" s="10">
        <v>122249</v>
      </c>
      <c r="S53" s="10">
        <v>194829</v>
      </c>
      <c r="T53" s="10"/>
      <c r="U53" s="10"/>
      <c r="V53" s="10"/>
      <c r="W53" s="10"/>
      <c r="X53" s="10"/>
      <c r="Y53" s="10"/>
      <c r="Z53" s="10">
        <v>2235211</v>
      </c>
      <c r="AA53" s="10">
        <v>6231175</v>
      </c>
      <c r="AB53" s="10">
        <v>4445280</v>
      </c>
      <c r="AC53" s="10">
        <v>12511803</v>
      </c>
      <c r="AD53" s="10">
        <v>2972822</v>
      </c>
      <c r="AE53" s="10">
        <v>7956849</v>
      </c>
      <c r="AF53" s="10">
        <v>99499</v>
      </c>
      <c r="AG53" s="10">
        <v>249763</v>
      </c>
      <c r="AH53" s="10">
        <v>507199</v>
      </c>
      <c r="AI53" s="10">
        <v>1574755</v>
      </c>
      <c r="AJ53" s="10">
        <v>-7095</v>
      </c>
      <c r="AK53" s="10">
        <v>141753</v>
      </c>
      <c r="AL53" s="10">
        <v>874001</v>
      </c>
      <c r="AM53" s="10">
        <v>2399634</v>
      </c>
      <c r="AN53" s="10">
        <v>1330577</v>
      </c>
      <c r="AO53" s="10">
        <v>3806282</v>
      </c>
      <c r="AP53" s="10"/>
      <c r="AQ53" s="10"/>
      <c r="AR53" s="10">
        <v>26750029</v>
      </c>
      <c r="AS53" s="10">
        <v>68779756</v>
      </c>
      <c r="AT53" s="10">
        <v>10940555</v>
      </c>
      <c r="AU53" s="10">
        <v>32388803</v>
      </c>
      <c r="AV53" s="10">
        <v>-11</v>
      </c>
      <c r="AW53" s="10">
        <v>883</v>
      </c>
      <c r="AX53" s="10"/>
      <c r="AY53" s="10"/>
      <c r="AZ53" s="10"/>
      <c r="BA53" s="10"/>
      <c r="BB53" s="10">
        <v>3651222</v>
      </c>
      <c r="BC53" s="10">
        <v>10402465</v>
      </c>
      <c r="BD53" s="10">
        <v>665326</v>
      </c>
      <c r="BE53" s="10">
        <v>1892124</v>
      </c>
      <c r="BF53" s="10"/>
      <c r="BG53" s="10"/>
      <c r="BH53" s="10"/>
      <c r="BI53" s="10"/>
      <c r="BJ53" s="10"/>
      <c r="BK53" s="10"/>
      <c r="BL53" s="10">
        <v>1289653</v>
      </c>
      <c r="BM53" s="10">
        <v>3811690</v>
      </c>
      <c r="BN53" s="10">
        <v>13272906</v>
      </c>
      <c r="BO53" s="10">
        <v>40522676</v>
      </c>
      <c r="BP53" s="10">
        <v>342617</v>
      </c>
      <c r="BQ53" s="10">
        <v>956283</v>
      </c>
      <c r="BR53" s="85">
        <f t="shared" si="8"/>
        <v>79075982</v>
      </c>
      <c r="BS53" s="85">
        <f t="shared" si="9"/>
        <v>221719258</v>
      </c>
    </row>
    <row r="54" spans="1:71" x14ac:dyDescent="0.25">
      <c r="A54" s="26" t="s">
        <v>289</v>
      </c>
      <c r="B54" s="10"/>
      <c r="C54" s="10"/>
      <c r="D54" s="10"/>
      <c r="E54" s="10"/>
      <c r="F54" s="10"/>
      <c r="G54" s="10"/>
      <c r="H54" s="10"/>
      <c r="I54" s="10"/>
      <c r="J54" s="10"/>
      <c r="K54" s="10">
        <v>2508</v>
      </c>
      <c r="L54" s="10"/>
      <c r="M54" s="10"/>
      <c r="N54" s="10"/>
      <c r="O54" s="10"/>
      <c r="P54" s="10"/>
      <c r="Q54" s="10"/>
      <c r="R54" s="10">
        <v>22197</v>
      </c>
      <c r="S54" s="10">
        <v>41587</v>
      </c>
      <c r="T54" s="10"/>
      <c r="U54" s="10"/>
      <c r="V54" s="10"/>
      <c r="W54" s="10"/>
      <c r="X54" s="10"/>
      <c r="Y54" s="10"/>
      <c r="Z54" s="10">
        <v>31</v>
      </c>
      <c r="AA54" s="10">
        <v>3966</v>
      </c>
      <c r="AB54" s="10">
        <v>358586</v>
      </c>
      <c r="AC54" s="10">
        <v>862919</v>
      </c>
      <c r="AD54" s="10">
        <v>1549</v>
      </c>
      <c r="AE54" s="10">
        <v>1549</v>
      </c>
      <c r="AF54" s="10"/>
      <c r="AG54" s="10"/>
      <c r="AH54" s="10"/>
      <c r="AI54" s="10"/>
      <c r="AJ54" s="10">
        <v>51497</v>
      </c>
      <c r="AK54" s="10">
        <v>51497</v>
      </c>
      <c r="AL54" s="10"/>
      <c r="AM54" s="10"/>
      <c r="AN54" s="10"/>
      <c r="AO54" s="10"/>
      <c r="AP54" s="10"/>
      <c r="AQ54" s="10"/>
      <c r="AR54" s="10">
        <v>0</v>
      </c>
      <c r="AS54" s="10">
        <v>0</v>
      </c>
      <c r="AT54" s="10">
        <v>29218</v>
      </c>
      <c r="AU54" s="10">
        <v>153828</v>
      </c>
      <c r="AV54" s="10"/>
      <c r="AW54" s="10"/>
      <c r="AX54" s="10">
        <v>3655</v>
      </c>
      <c r="AY54" s="10">
        <v>3655</v>
      </c>
      <c r="AZ54" s="10"/>
      <c r="BA54" s="10"/>
      <c r="BB54" s="10">
        <v>52443</v>
      </c>
      <c r="BC54" s="10">
        <v>156976</v>
      </c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>
        <v>0</v>
      </c>
      <c r="BO54" s="10">
        <v>0</v>
      </c>
      <c r="BP54" s="10"/>
      <c r="BQ54" s="10"/>
      <c r="BR54" s="85">
        <f t="shared" si="8"/>
        <v>519176</v>
      </c>
      <c r="BS54" s="85">
        <f t="shared" si="9"/>
        <v>1278485</v>
      </c>
    </row>
    <row r="55" spans="1:71" x14ac:dyDescent="0.25">
      <c r="A55" s="26" t="s">
        <v>290</v>
      </c>
      <c r="B55" s="10">
        <v>2264</v>
      </c>
      <c r="C55" s="10">
        <v>6487</v>
      </c>
      <c r="D55" s="10">
        <v>114947</v>
      </c>
      <c r="E55" s="10">
        <v>244818</v>
      </c>
      <c r="F55" s="10"/>
      <c r="G55" s="10"/>
      <c r="H55" s="10">
        <v>603965</v>
      </c>
      <c r="I55" s="10">
        <v>1597686</v>
      </c>
      <c r="J55" s="10">
        <v>1117794</v>
      </c>
      <c r="K55" s="10">
        <v>3206430</v>
      </c>
      <c r="L55" s="10">
        <v>34517</v>
      </c>
      <c r="M55" s="10">
        <v>91957</v>
      </c>
      <c r="N55" s="10">
        <v>55439</v>
      </c>
      <c r="O55" s="10">
        <v>124810</v>
      </c>
      <c r="P55" s="10">
        <v>-4817</v>
      </c>
      <c r="Q55" s="10">
        <v>-15398</v>
      </c>
      <c r="R55" s="10">
        <v>15843</v>
      </c>
      <c r="S55" s="10">
        <v>-165210</v>
      </c>
      <c r="T55" s="10"/>
      <c r="U55" s="10"/>
      <c r="V55" s="10">
        <v>189946</v>
      </c>
      <c r="W55" s="10">
        <v>535432</v>
      </c>
      <c r="X55" s="10">
        <v>1158</v>
      </c>
      <c r="Y55" s="10">
        <v>2213</v>
      </c>
      <c r="Z55" s="10">
        <v>-525546</v>
      </c>
      <c r="AA55" s="10">
        <v>-1453141</v>
      </c>
      <c r="AB55" s="10">
        <v>549537</v>
      </c>
      <c r="AC55" s="10">
        <v>1440034</v>
      </c>
      <c r="AD55" s="10">
        <v>506223</v>
      </c>
      <c r="AE55" s="10">
        <v>836799</v>
      </c>
      <c r="AF55" s="10">
        <v>3655</v>
      </c>
      <c r="AG55" s="10">
        <v>10090</v>
      </c>
      <c r="AH55" s="10">
        <v>27925</v>
      </c>
      <c r="AI55" s="10">
        <v>73265</v>
      </c>
      <c r="AJ55" s="10">
        <v>-5291</v>
      </c>
      <c r="AK55" s="10">
        <v>-25939</v>
      </c>
      <c r="AL55" s="10">
        <v>41019</v>
      </c>
      <c r="AM55" s="10">
        <v>109928</v>
      </c>
      <c r="AN55" s="10">
        <v>212102</v>
      </c>
      <c r="AO55" s="10">
        <v>429334</v>
      </c>
      <c r="AP55" s="10">
        <v>6923083.6129999999</v>
      </c>
      <c r="AQ55" s="10">
        <v>17786221.864</v>
      </c>
      <c r="AR55" s="10">
        <v>2642300</v>
      </c>
      <c r="AS55" s="10">
        <v>8592539</v>
      </c>
      <c r="AT55" s="10">
        <v>540288</v>
      </c>
      <c r="AU55" s="10">
        <v>1783861</v>
      </c>
      <c r="AV55" s="10">
        <v>28</v>
      </c>
      <c r="AW55" s="10">
        <v>28</v>
      </c>
      <c r="AX55" s="10">
        <v>687577</v>
      </c>
      <c r="AY55" s="10">
        <v>1314975</v>
      </c>
      <c r="AZ55" s="10"/>
      <c r="BA55" s="10"/>
      <c r="BB55" s="10">
        <v>1461179</v>
      </c>
      <c r="BC55" s="10">
        <v>4114861</v>
      </c>
      <c r="BD55" s="10">
        <v>-196681</v>
      </c>
      <c r="BE55" s="10">
        <v>-355789</v>
      </c>
      <c r="BF55" s="10">
        <v>41327</v>
      </c>
      <c r="BG55" s="10">
        <v>114360</v>
      </c>
      <c r="BH55" s="10">
        <v>922</v>
      </c>
      <c r="BI55" s="10">
        <v>1394</v>
      </c>
      <c r="BJ55" s="10"/>
      <c r="BK55" s="10"/>
      <c r="BL55" s="10">
        <v>123601</v>
      </c>
      <c r="BM55" s="10">
        <v>282306</v>
      </c>
      <c r="BN55" s="10">
        <v>821394</v>
      </c>
      <c r="BO55" s="10">
        <v>2280458</v>
      </c>
      <c r="BP55" s="10">
        <v>92351</v>
      </c>
      <c r="BQ55" s="10">
        <v>121008</v>
      </c>
      <c r="BR55" s="85">
        <f t="shared" si="8"/>
        <v>16078049.613</v>
      </c>
      <c r="BS55" s="85">
        <f t="shared" si="9"/>
        <v>43085817.864</v>
      </c>
    </row>
    <row r="56" spans="1:71" x14ac:dyDescent="0.25">
      <c r="A56" s="26" t="s">
        <v>286</v>
      </c>
      <c r="B56" s="10">
        <v>67242</v>
      </c>
      <c r="C56" s="10">
        <v>158611</v>
      </c>
      <c r="D56" s="10">
        <v>671151</v>
      </c>
      <c r="E56" s="10">
        <v>2037450</v>
      </c>
      <c r="F56" s="10"/>
      <c r="G56" s="10"/>
      <c r="H56" s="10">
        <v>3580739</v>
      </c>
      <c r="I56" s="10">
        <v>10185442</v>
      </c>
      <c r="J56" s="10">
        <v>3778532</v>
      </c>
      <c r="K56" s="10">
        <v>11730980</v>
      </c>
      <c r="L56" s="10">
        <v>593422</v>
      </c>
      <c r="M56" s="10">
        <v>1689084</v>
      </c>
      <c r="N56" s="10">
        <v>385505</v>
      </c>
      <c r="O56" s="10">
        <v>997226</v>
      </c>
      <c r="P56" s="10">
        <v>46301</v>
      </c>
      <c r="Q56" s="10">
        <v>108568</v>
      </c>
      <c r="R56" s="10">
        <v>128603</v>
      </c>
      <c r="S56" s="10">
        <v>401626</v>
      </c>
      <c r="T56" s="10"/>
      <c r="U56" s="10"/>
      <c r="V56" s="10">
        <v>503488</v>
      </c>
      <c r="W56" s="10">
        <v>1371011</v>
      </c>
      <c r="X56" s="10">
        <v>33467</v>
      </c>
      <c r="Y56" s="10">
        <v>60127</v>
      </c>
      <c r="Z56" s="10">
        <v>1570814</v>
      </c>
      <c r="AA56" s="10">
        <v>4493257</v>
      </c>
      <c r="AB56" s="10">
        <v>3869107</v>
      </c>
      <c r="AC56" s="10">
        <v>11111315</v>
      </c>
      <c r="AD56" s="10">
        <v>2468148</v>
      </c>
      <c r="AE56" s="10">
        <v>7121599</v>
      </c>
      <c r="AF56" s="10">
        <v>95844</v>
      </c>
      <c r="AG56" s="10">
        <v>239673</v>
      </c>
      <c r="AH56" s="10">
        <v>456161</v>
      </c>
      <c r="AI56" s="10">
        <v>1448905</v>
      </c>
      <c r="AJ56" s="10">
        <v>33741</v>
      </c>
      <c r="AK56" s="10">
        <v>165379</v>
      </c>
      <c r="AL56" s="10">
        <v>832982</v>
      </c>
      <c r="AM56" s="10">
        <v>2289706</v>
      </c>
      <c r="AN56" s="10">
        <v>1118475</v>
      </c>
      <c r="AO56" s="10">
        <v>3376947</v>
      </c>
      <c r="AP56" s="10">
        <v>5449215.6100030513</v>
      </c>
      <c r="AQ56" s="10">
        <v>22906494.742000002</v>
      </c>
      <c r="AR56" s="10">
        <v>23945127</v>
      </c>
      <c r="AS56" s="10">
        <v>60024616</v>
      </c>
      <c r="AT56" s="10">
        <v>10429485</v>
      </c>
      <c r="AU56" s="10">
        <v>30758771</v>
      </c>
      <c r="AV56" s="10">
        <v>-39</v>
      </c>
      <c r="AW56" s="10">
        <v>856</v>
      </c>
      <c r="AX56" s="10">
        <v>3214718</v>
      </c>
      <c r="AY56" s="10">
        <v>8010265</v>
      </c>
      <c r="AZ56" s="10"/>
      <c r="BA56" s="10"/>
      <c r="BB56" s="10">
        <v>2242486</v>
      </c>
      <c r="BC56" s="10">
        <v>6444580</v>
      </c>
      <c r="BD56" s="10">
        <v>544237</v>
      </c>
      <c r="BE56" s="10">
        <v>1482138</v>
      </c>
      <c r="BF56" s="10">
        <v>1051773</v>
      </c>
      <c r="BG56" s="10">
        <v>2698756</v>
      </c>
      <c r="BH56" s="10">
        <v>945</v>
      </c>
      <c r="BI56" s="10">
        <v>3079</v>
      </c>
      <c r="BJ56" s="10"/>
      <c r="BK56" s="10"/>
      <c r="BL56" s="10">
        <v>1166052</v>
      </c>
      <c r="BM56" s="10">
        <v>3529384</v>
      </c>
      <c r="BN56" s="10">
        <v>12451512</v>
      </c>
      <c r="BO56" s="10">
        <v>38242218</v>
      </c>
      <c r="BP56" s="10">
        <v>250266</v>
      </c>
      <c r="BQ56" s="10">
        <v>835275</v>
      </c>
      <c r="BR56" s="85">
        <f>SUM(B56+D56+F56+H56+J56+L56+N56+P56+R56+T56+V56+X56+Z56+AB56+AD56+AF56+AH56+AJ56+AL56+AN56+AP56+AR56+AT56+AV56+AX56+AZ56+BB56+BD56+BF56+BH56+BJ56+BL56+BN56+BP56)</f>
        <v>80979499.610003054</v>
      </c>
      <c r="BS56" s="85">
        <f>SUM(C56+E56+G56+I56+K56+M56+O56+Q56+S56+U56+W56+Y56+AA56+AC56+AE56+AG56+AI56+AK56+AM56+AO56+AQ56+AS56+AU56+AW56+AY56+BA56+BC56+BE56+BG56+BI56+BK56+BM56+BO56+BQ56)</f>
        <v>233923338.74199998</v>
      </c>
    </row>
    <row r="57" spans="1:71" x14ac:dyDescent="0.25">
      <c r="A57" s="18"/>
    </row>
    <row r="58" spans="1:71" x14ac:dyDescent="0.25">
      <c r="A58" s="33" t="s">
        <v>234</v>
      </c>
    </row>
    <row r="59" spans="1:71" x14ac:dyDescent="0.25">
      <c r="A59" s="3" t="s">
        <v>0</v>
      </c>
      <c r="B59" s="107" t="s">
        <v>1</v>
      </c>
      <c r="C59" s="108"/>
      <c r="D59" s="107" t="s">
        <v>2</v>
      </c>
      <c r="E59" s="108"/>
      <c r="F59" s="107" t="s">
        <v>3</v>
      </c>
      <c r="G59" s="108"/>
      <c r="H59" s="107" t="s">
        <v>307</v>
      </c>
      <c r="I59" s="108"/>
      <c r="J59" s="107" t="s">
        <v>5</v>
      </c>
      <c r="K59" s="108"/>
      <c r="L59" s="107" t="s">
        <v>6</v>
      </c>
      <c r="M59" s="108"/>
      <c r="N59" s="107" t="s">
        <v>7</v>
      </c>
      <c r="O59" s="108"/>
      <c r="P59" s="107" t="s">
        <v>8</v>
      </c>
      <c r="Q59" s="108"/>
      <c r="R59" s="107" t="s">
        <v>9</v>
      </c>
      <c r="S59" s="108"/>
      <c r="T59" s="107" t="s">
        <v>10</v>
      </c>
      <c r="U59" s="108"/>
      <c r="V59" s="107" t="s">
        <v>11</v>
      </c>
      <c r="W59" s="108"/>
      <c r="X59" s="107" t="s">
        <v>12</v>
      </c>
      <c r="Y59" s="108"/>
      <c r="Z59" s="107" t="s">
        <v>13</v>
      </c>
      <c r="AA59" s="108"/>
      <c r="AB59" s="107" t="s">
        <v>14</v>
      </c>
      <c r="AC59" s="108"/>
      <c r="AD59" s="107" t="s">
        <v>15</v>
      </c>
      <c r="AE59" s="108"/>
      <c r="AF59" s="107" t="s">
        <v>16</v>
      </c>
      <c r="AG59" s="108"/>
      <c r="AH59" s="107" t="s">
        <v>17</v>
      </c>
      <c r="AI59" s="108"/>
      <c r="AJ59" s="107" t="s">
        <v>18</v>
      </c>
      <c r="AK59" s="108"/>
      <c r="AL59" s="107" t="s">
        <v>296</v>
      </c>
      <c r="AM59" s="108"/>
      <c r="AN59" s="107" t="s">
        <v>19</v>
      </c>
      <c r="AO59" s="108"/>
      <c r="AP59" s="107" t="s">
        <v>20</v>
      </c>
      <c r="AQ59" s="108"/>
      <c r="AR59" s="107" t="s">
        <v>21</v>
      </c>
      <c r="AS59" s="108"/>
      <c r="AT59" s="107" t="s">
        <v>22</v>
      </c>
      <c r="AU59" s="108"/>
      <c r="AV59" s="107" t="s">
        <v>23</v>
      </c>
      <c r="AW59" s="108"/>
      <c r="AX59" s="107" t="s">
        <v>24</v>
      </c>
      <c r="AY59" s="108"/>
      <c r="AZ59" s="107" t="s">
        <v>25</v>
      </c>
      <c r="BA59" s="108"/>
      <c r="BB59" s="107" t="s">
        <v>26</v>
      </c>
      <c r="BC59" s="108"/>
      <c r="BD59" s="107" t="s">
        <v>27</v>
      </c>
      <c r="BE59" s="108"/>
      <c r="BF59" s="107" t="s">
        <v>28</v>
      </c>
      <c r="BG59" s="108"/>
      <c r="BH59" s="107" t="s">
        <v>29</v>
      </c>
      <c r="BI59" s="108"/>
      <c r="BJ59" s="107" t="s">
        <v>30</v>
      </c>
      <c r="BK59" s="108"/>
      <c r="BL59" s="107" t="s">
        <v>31</v>
      </c>
      <c r="BM59" s="108"/>
      <c r="BN59" s="111" t="s">
        <v>32</v>
      </c>
      <c r="BO59" s="112"/>
      <c r="BP59" s="107" t="s">
        <v>33</v>
      </c>
      <c r="BQ59" s="108"/>
      <c r="BR59" s="109" t="s">
        <v>34</v>
      </c>
      <c r="BS59" s="110"/>
    </row>
    <row r="60" spans="1:71" ht="30" x14ac:dyDescent="0.25">
      <c r="A60" s="3"/>
      <c r="B60" s="66" t="s">
        <v>294</v>
      </c>
      <c r="C60" s="67" t="s">
        <v>295</v>
      </c>
      <c r="D60" s="66" t="s">
        <v>294</v>
      </c>
      <c r="E60" s="67" t="s">
        <v>295</v>
      </c>
      <c r="F60" s="66" t="s">
        <v>294</v>
      </c>
      <c r="G60" s="67" t="s">
        <v>295</v>
      </c>
      <c r="H60" s="66" t="s">
        <v>294</v>
      </c>
      <c r="I60" s="67" t="s">
        <v>295</v>
      </c>
      <c r="J60" s="66" t="s">
        <v>294</v>
      </c>
      <c r="K60" s="67" t="s">
        <v>295</v>
      </c>
      <c r="L60" s="66" t="s">
        <v>294</v>
      </c>
      <c r="M60" s="67" t="s">
        <v>295</v>
      </c>
      <c r="N60" s="66" t="s">
        <v>294</v>
      </c>
      <c r="O60" s="67" t="s">
        <v>295</v>
      </c>
      <c r="P60" s="66" t="s">
        <v>294</v>
      </c>
      <c r="Q60" s="67" t="s">
        <v>295</v>
      </c>
      <c r="R60" s="66" t="s">
        <v>294</v>
      </c>
      <c r="S60" s="67" t="s">
        <v>295</v>
      </c>
      <c r="T60" s="66" t="s">
        <v>294</v>
      </c>
      <c r="U60" s="67" t="s">
        <v>295</v>
      </c>
      <c r="V60" s="66" t="s">
        <v>294</v>
      </c>
      <c r="W60" s="67" t="s">
        <v>295</v>
      </c>
      <c r="X60" s="66" t="s">
        <v>294</v>
      </c>
      <c r="Y60" s="67" t="s">
        <v>295</v>
      </c>
      <c r="Z60" s="66" t="s">
        <v>294</v>
      </c>
      <c r="AA60" s="67" t="s">
        <v>295</v>
      </c>
      <c r="AB60" s="66" t="s">
        <v>294</v>
      </c>
      <c r="AC60" s="67" t="s">
        <v>295</v>
      </c>
      <c r="AD60" s="66" t="s">
        <v>294</v>
      </c>
      <c r="AE60" s="67" t="s">
        <v>295</v>
      </c>
      <c r="AF60" s="66" t="s">
        <v>294</v>
      </c>
      <c r="AG60" s="67" t="s">
        <v>295</v>
      </c>
      <c r="AH60" s="66" t="s">
        <v>294</v>
      </c>
      <c r="AI60" s="67" t="s">
        <v>295</v>
      </c>
      <c r="AJ60" s="66" t="s">
        <v>294</v>
      </c>
      <c r="AK60" s="67" t="s">
        <v>295</v>
      </c>
      <c r="AL60" s="66" t="s">
        <v>294</v>
      </c>
      <c r="AM60" s="67" t="s">
        <v>295</v>
      </c>
      <c r="AN60" s="66" t="s">
        <v>294</v>
      </c>
      <c r="AO60" s="67" t="s">
        <v>295</v>
      </c>
      <c r="AP60" s="66" t="s">
        <v>294</v>
      </c>
      <c r="AQ60" s="67" t="s">
        <v>295</v>
      </c>
      <c r="AR60" s="66" t="s">
        <v>294</v>
      </c>
      <c r="AS60" s="67" t="s">
        <v>295</v>
      </c>
      <c r="AT60" s="66" t="s">
        <v>294</v>
      </c>
      <c r="AU60" s="67" t="s">
        <v>295</v>
      </c>
      <c r="AV60" s="66" t="s">
        <v>294</v>
      </c>
      <c r="AW60" s="67" t="s">
        <v>295</v>
      </c>
      <c r="AX60" s="66" t="s">
        <v>294</v>
      </c>
      <c r="AY60" s="67" t="s">
        <v>295</v>
      </c>
      <c r="AZ60" s="66" t="s">
        <v>294</v>
      </c>
      <c r="BA60" s="67" t="s">
        <v>295</v>
      </c>
      <c r="BB60" s="66" t="s">
        <v>294</v>
      </c>
      <c r="BC60" s="67" t="s">
        <v>295</v>
      </c>
      <c r="BD60" s="66" t="s">
        <v>294</v>
      </c>
      <c r="BE60" s="67" t="s">
        <v>295</v>
      </c>
      <c r="BF60" s="66" t="s">
        <v>294</v>
      </c>
      <c r="BG60" s="67" t="s">
        <v>295</v>
      </c>
      <c r="BH60" s="66" t="s">
        <v>294</v>
      </c>
      <c r="BI60" s="67" t="s">
        <v>295</v>
      </c>
      <c r="BJ60" s="66" t="s">
        <v>294</v>
      </c>
      <c r="BK60" s="67" t="s">
        <v>295</v>
      </c>
      <c r="BL60" s="66" t="s">
        <v>294</v>
      </c>
      <c r="BM60" s="67" t="s">
        <v>295</v>
      </c>
      <c r="BN60" s="66" t="s">
        <v>294</v>
      </c>
      <c r="BO60" s="67" t="s">
        <v>295</v>
      </c>
      <c r="BP60" s="66" t="s">
        <v>294</v>
      </c>
      <c r="BQ60" s="67" t="s">
        <v>295</v>
      </c>
      <c r="BR60" s="66" t="s">
        <v>294</v>
      </c>
      <c r="BS60" s="67" t="s">
        <v>295</v>
      </c>
    </row>
    <row r="61" spans="1:71" x14ac:dyDescent="0.25">
      <c r="A61" s="26" t="s">
        <v>241</v>
      </c>
      <c r="B61" s="10">
        <v>2770</v>
      </c>
      <c r="C61" s="10">
        <v>23231</v>
      </c>
      <c r="D61" s="10">
        <v>27897</v>
      </c>
      <c r="E61" s="10">
        <v>77201</v>
      </c>
      <c r="F61" s="10"/>
      <c r="G61" s="10"/>
      <c r="H61" s="10">
        <v>42016</v>
      </c>
      <c r="I61" s="10">
        <v>164786</v>
      </c>
      <c r="J61" s="10">
        <v>263134</v>
      </c>
      <c r="K61" s="10">
        <v>731830</v>
      </c>
      <c r="L61" s="10">
        <v>26479</v>
      </c>
      <c r="M61" s="10">
        <v>96662</v>
      </c>
      <c r="N61" s="10">
        <v>159778</v>
      </c>
      <c r="O61" s="10">
        <v>450519</v>
      </c>
      <c r="P61" s="10">
        <v>7048</v>
      </c>
      <c r="Q61" s="10">
        <v>20516</v>
      </c>
      <c r="R61" s="10">
        <v>68</v>
      </c>
      <c r="S61" s="10">
        <v>995</v>
      </c>
      <c r="T61" s="10"/>
      <c r="U61" s="10"/>
      <c r="V61" s="10">
        <v>66869</v>
      </c>
      <c r="W61" s="10">
        <v>182650</v>
      </c>
      <c r="X61" s="10">
        <v>3208</v>
      </c>
      <c r="Y61" s="10">
        <v>6019</v>
      </c>
      <c r="Z61" s="10">
        <v>492964</v>
      </c>
      <c r="AA61" s="10">
        <v>1388546</v>
      </c>
      <c r="AB61" s="10">
        <v>311901</v>
      </c>
      <c r="AC61" s="10">
        <v>893000</v>
      </c>
      <c r="AD61" s="10">
        <v>178060</v>
      </c>
      <c r="AE61" s="10">
        <v>640547</v>
      </c>
      <c r="AF61" s="10">
        <v>8181</v>
      </c>
      <c r="AG61" s="10">
        <v>18276</v>
      </c>
      <c r="AH61" s="10">
        <v>33983</v>
      </c>
      <c r="AI61" s="10">
        <v>65969</v>
      </c>
      <c r="AJ61" s="10">
        <v>5132</v>
      </c>
      <c r="AK61" s="10">
        <v>12140</v>
      </c>
      <c r="AL61" s="10">
        <v>1591</v>
      </c>
      <c r="AM61" s="10">
        <v>6674</v>
      </c>
      <c r="AN61" s="10">
        <v>16916</v>
      </c>
      <c r="AO61" s="10">
        <v>30537</v>
      </c>
      <c r="AP61" s="10">
        <v>476667.42299999995</v>
      </c>
      <c r="AQ61" s="10">
        <v>1805101.52</v>
      </c>
      <c r="AR61" s="10">
        <v>1195058</v>
      </c>
      <c r="AS61" s="10">
        <v>4238537</v>
      </c>
      <c r="AT61" s="10">
        <v>2074966</v>
      </c>
      <c r="AU61" s="10">
        <v>5721115</v>
      </c>
      <c r="AV61" s="10">
        <v>40</v>
      </c>
      <c r="AW61" s="10">
        <v>536</v>
      </c>
      <c r="AX61" s="10">
        <v>61191</v>
      </c>
      <c r="AY61" s="10">
        <v>222877</v>
      </c>
      <c r="AZ61" s="10"/>
      <c r="BA61" s="10"/>
      <c r="BB61" s="10">
        <v>56619</v>
      </c>
      <c r="BC61" s="10">
        <v>166581</v>
      </c>
      <c r="BD61" s="10">
        <v>65186</v>
      </c>
      <c r="BE61" s="10">
        <v>156447</v>
      </c>
      <c r="BF61" s="10">
        <v>860817</v>
      </c>
      <c r="BG61" s="10">
        <v>2094233</v>
      </c>
      <c r="BH61" s="10">
        <v>69345</v>
      </c>
      <c r="BI61" s="10">
        <v>209159</v>
      </c>
      <c r="BJ61" s="10"/>
      <c r="BK61" s="10"/>
      <c r="BL61" s="10">
        <v>199590</v>
      </c>
      <c r="BM61" s="10">
        <v>592461</v>
      </c>
      <c r="BN61" s="10">
        <v>1459968</v>
      </c>
      <c r="BO61" s="10">
        <v>3657461</v>
      </c>
      <c r="BP61" s="10">
        <v>45980</v>
      </c>
      <c r="BQ61" s="10">
        <v>204731</v>
      </c>
      <c r="BR61" s="85">
        <f>SUM(B61+D61+F61+H61+J61+L61+N61+P61+R61+T61+V61+X61+Z61+AB61+AD61+AF61+AH61+AJ61+AL61+AN61+AP61+AR61+AT61+AV61+AX61+AZ61+BB61+BD61+BF61+BH61+BJ61+BL61+BN61+BP61)</f>
        <v>8213422.4230000004</v>
      </c>
      <c r="BS61" s="85">
        <f>SUM(C61+E61+G61+I61+K61+M61+O61+Q61+S61+U61+W61+Y61+AA61+AC61+AE61+AG61+AI61+AK61+AM61+AO61+AQ61+AS61+AU61+AW61+AY61+BA61+BC61+BE61+BG61+BI61+BK61+BM61+BO61+BQ61)</f>
        <v>23879337.52</v>
      </c>
    </row>
    <row r="62" spans="1:71" x14ac:dyDescent="0.25">
      <c r="A62" s="10" t="s">
        <v>292</v>
      </c>
      <c r="B62" s="10">
        <v>2263</v>
      </c>
      <c r="C62" s="10">
        <v>2263</v>
      </c>
      <c r="D62" s="10">
        <v>142672</v>
      </c>
      <c r="E62" s="10">
        <v>142671</v>
      </c>
      <c r="F62" s="10"/>
      <c r="G62" s="10"/>
      <c r="H62" s="10">
        <v>105121</v>
      </c>
      <c r="I62" s="10">
        <v>105121</v>
      </c>
      <c r="J62" s="10">
        <v>168382</v>
      </c>
      <c r="K62" s="10">
        <v>1144509</v>
      </c>
      <c r="L62" s="10">
        <v>3542</v>
      </c>
      <c r="M62" s="10">
        <v>162936</v>
      </c>
      <c r="N62" s="10">
        <v>381066</v>
      </c>
      <c r="O62" s="10">
        <v>381066</v>
      </c>
      <c r="P62" s="10">
        <v>31475</v>
      </c>
      <c r="Q62" s="10">
        <v>31475</v>
      </c>
      <c r="R62" s="10">
        <v>6362</v>
      </c>
      <c r="S62" s="10">
        <v>6362</v>
      </c>
      <c r="T62" s="10"/>
      <c r="U62" s="10"/>
      <c r="V62" s="10">
        <v>271152</v>
      </c>
      <c r="W62" s="10">
        <v>271152</v>
      </c>
      <c r="X62" s="10">
        <v>8906</v>
      </c>
      <c r="Y62" s="10">
        <v>16698</v>
      </c>
      <c r="Z62" s="10">
        <v>1448182</v>
      </c>
      <c r="AA62" s="10">
        <v>1448182</v>
      </c>
      <c r="AB62" s="10">
        <v>4045531</v>
      </c>
      <c r="AC62" s="10">
        <v>4045531</v>
      </c>
      <c r="AD62" s="10">
        <v>-32006</v>
      </c>
      <c r="AE62" s="10">
        <v>454931</v>
      </c>
      <c r="AF62" s="10">
        <v>24471</v>
      </c>
      <c r="AG62" s="10">
        <v>24471</v>
      </c>
      <c r="AH62" s="10">
        <v>174638</v>
      </c>
      <c r="AI62" s="10">
        <v>174638</v>
      </c>
      <c r="AJ62" s="10">
        <v>54540</v>
      </c>
      <c r="AK62" s="10">
        <v>54540</v>
      </c>
      <c r="AL62" s="10">
        <v>74377</v>
      </c>
      <c r="AM62" s="10">
        <v>74377</v>
      </c>
      <c r="AN62" s="10">
        <v>135380</v>
      </c>
      <c r="AO62" s="10">
        <v>135380</v>
      </c>
      <c r="AP62" s="10">
        <v>22876.026169200108</v>
      </c>
      <c r="AQ62" s="10">
        <v>2318951.2569999998</v>
      </c>
      <c r="AR62" s="10">
        <v>3201936</v>
      </c>
      <c r="AS62" s="10">
        <v>3201936</v>
      </c>
      <c r="AT62" s="10">
        <v>79438</v>
      </c>
      <c r="AU62" s="10">
        <v>4631442</v>
      </c>
      <c r="AV62" s="10">
        <v>7</v>
      </c>
      <c r="AW62" s="10">
        <v>1656</v>
      </c>
      <c r="AX62" s="10">
        <v>374974</v>
      </c>
      <c r="AY62" s="10">
        <v>374974</v>
      </c>
      <c r="AZ62" s="10"/>
      <c r="BA62" s="10"/>
      <c r="BB62" s="10">
        <v>334905</v>
      </c>
      <c r="BC62" s="10">
        <v>334905</v>
      </c>
      <c r="BD62" s="10">
        <v>-613</v>
      </c>
      <c r="BE62" s="10">
        <v>297730</v>
      </c>
      <c r="BF62" s="10">
        <v>3702937</v>
      </c>
      <c r="BG62" s="10">
        <v>3702937</v>
      </c>
      <c r="BH62" s="10">
        <v>67823</v>
      </c>
      <c r="BI62" s="10">
        <v>67823</v>
      </c>
      <c r="BJ62" s="10"/>
      <c r="BK62" s="10"/>
      <c r="BL62" s="10">
        <v>-21962</v>
      </c>
      <c r="BM62" s="10">
        <v>741417</v>
      </c>
      <c r="BN62" s="10">
        <v>2304406</v>
      </c>
      <c r="BO62" s="10">
        <v>2304406</v>
      </c>
      <c r="BP62" s="10">
        <v>66676</v>
      </c>
      <c r="BQ62" s="10">
        <v>323035</v>
      </c>
      <c r="BR62" s="85">
        <f t="shared" ref="BR62:BR66" si="10">SUM(B62+D62+F62+H62+J62+L62+N62+P62+R62+T62+V62+X62+Z62+AB62+AD62+AF62+AH62+AJ62+AL62+AN62+AP62+AR62+AT62+AV62+AX62+AZ62+BB62+BD62+BF62+BH62+BJ62+BL62+BN62+BP62)</f>
        <v>17179457.026169199</v>
      </c>
      <c r="BS62" s="85">
        <f t="shared" ref="BS62:BS66" si="11">SUM(C62+E62+G62+I62+K62+M62+O62+Q62+S62+U62+W62+Y62+AA62+AC62+AE62+AG62+AI62+AK62+AM62+AO62+AQ62+AS62+AU62+AW62+AY62+BA62+BC62+BE62+BG62+BI62+BK62+BM62+BO62+BQ62)</f>
        <v>26977515.256999999</v>
      </c>
    </row>
    <row r="63" spans="1:71" x14ac:dyDescent="0.25">
      <c r="A63" s="10" t="s">
        <v>291</v>
      </c>
      <c r="B63" s="10">
        <v>1723</v>
      </c>
      <c r="C63" s="10">
        <v>9267</v>
      </c>
      <c r="D63" s="10">
        <v>105425</v>
      </c>
      <c r="E63" s="10">
        <v>97989</v>
      </c>
      <c r="F63" s="10"/>
      <c r="G63" s="10"/>
      <c r="H63" s="10">
        <v>99498</v>
      </c>
      <c r="I63" s="10">
        <v>114391</v>
      </c>
      <c r="J63" s="10"/>
      <c r="K63" s="10">
        <v>773377</v>
      </c>
      <c r="L63" s="10"/>
      <c r="M63" s="10">
        <v>139306</v>
      </c>
      <c r="N63" s="10">
        <v>379794</v>
      </c>
      <c r="O63" s="10">
        <v>312509</v>
      </c>
      <c r="P63" s="10">
        <v>-25012</v>
      </c>
      <c r="Q63" s="10">
        <v>-28171</v>
      </c>
      <c r="R63" s="10">
        <v>5699</v>
      </c>
      <c r="S63" s="10">
        <v>20342</v>
      </c>
      <c r="T63" s="10"/>
      <c r="U63" s="10"/>
      <c r="V63" s="10">
        <v>240808</v>
      </c>
      <c r="W63" s="10">
        <v>313622</v>
      </c>
      <c r="X63" s="10"/>
      <c r="Y63" s="10">
        <v>28</v>
      </c>
      <c r="Z63" s="10">
        <v>-1281083</v>
      </c>
      <c r="AA63" s="10">
        <v>-856769</v>
      </c>
      <c r="AB63" s="10">
        <v>4035627</v>
      </c>
      <c r="AC63" s="10">
        <v>3979743</v>
      </c>
      <c r="AD63" s="10"/>
      <c r="AE63" s="10">
        <v>599720</v>
      </c>
      <c r="AF63" s="10">
        <v>19874</v>
      </c>
      <c r="AG63" s="10">
        <v>9777</v>
      </c>
      <c r="AH63" s="10">
        <v>155168</v>
      </c>
      <c r="AI63" s="10">
        <v>138951</v>
      </c>
      <c r="AJ63" s="10">
        <v>-44690</v>
      </c>
      <c r="AK63" s="10">
        <v>-60780</v>
      </c>
      <c r="AL63" s="10">
        <v>62581</v>
      </c>
      <c r="AM63" s="10">
        <v>59940</v>
      </c>
      <c r="AN63" s="10">
        <v>140610</v>
      </c>
      <c r="AO63" s="10">
        <v>98300</v>
      </c>
      <c r="AP63" s="10">
        <v>0</v>
      </c>
      <c r="AQ63" s="10">
        <v>2409136.4869999997</v>
      </c>
      <c r="AR63" s="10">
        <v>4147338</v>
      </c>
      <c r="AS63" s="10">
        <v>4147338</v>
      </c>
      <c r="AT63" s="10">
        <v>0</v>
      </c>
      <c r="AU63" s="10">
        <v>4413669</v>
      </c>
      <c r="AV63" s="10"/>
      <c r="AW63" s="10">
        <v>686</v>
      </c>
      <c r="AX63" s="10">
        <v>371873</v>
      </c>
      <c r="AY63" s="10">
        <v>345153</v>
      </c>
      <c r="AZ63" s="10"/>
      <c r="BA63" s="10"/>
      <c r="BB63" s="10">
        <v>300938</v>
      </c>
      <c r="BC63" s="10">
        <v>230226</v>
      </c>
      <c r="BD63" s="10"/>
      <c r="BE63" s="10">
        <v>-267664</v>
      </c>
      <c r="BF63" s="10">
        <v>3815068</v>
      </c>
      <c r="BG63" s="10">
        <v>3724563</v>
      </c>
      <c r="BH63" s="10">
        <v>63565</v>
      </c>
      <c r="BI63" s="10">
        <v>40341</v>
      </c>
      <c r="BJ63" s="10"/>
      <c r="BK63" s="10"/>
      <c r="BL63" s="10"/>
      <c r="BM63" s="10">
        <v>717392</v>
      </c>
      <c r="BN63" s="10">
        <v>2296267</v>
      </c>
      <c r="BO63" s="10">
        <v>1875578</v>
      </c>
      <c r="BP63" s="10"/>
      <c r="BQ63" s="10">
        <v>205908</v>
      </c>
      <c r="BR63" s="85">
        <f t="shared" si="10"/>
        <v>14891071</v>
      </c>
      <c r="BS63" s="85">
        <f t="shared" si="11"/>
        <v>23563868.487</v>
      </c>
    </row>
    <row r="64" spans="1:71" x14ac:dyDescent="0.25">
      <c r="A64" s="26" t="s">
        <v>306</v>
      </c>
      <c r="B64" s="10"/>
      <c r="C64" s="10"/>
      <c r="D64" s="10"/>
      <c r="E64" s="10"/>
      <c r="F64" s="10"/>
      <c r="G64" s="10"/>
      <c r="H64" s="10">
        <v>47639</v>
      </c>
      <c r="I64" s="10">
        <v>155516</v>
      </c>
      <c r="J64" s="10">
        <v>431516</v>
      </c>
      <c r="K64" s="10">
        <v>1102962</v>
      </c>
      <c r="L64" s="10"/>
      <c r="M64" s="10"/>
      <c r="N64" s="10">
        <v>161050</v>
      </c>
      <c r="O64" s="10">
        <v>519076</v>
      </c>
      <c r="P64" s="10">
        <v>13512</v>
      </c>
      <c r="Q64" s="10">
        <v>23820</v>
      </c>
      <c r="R64" s="10">
        <v>731</v>
      </c>
      <c r="S64" s="10">
        <v>-12985</v>
      </c>
      <c r="T64" s="10"/>
      <c r="U64" s="10"/>
      <c r="V64" s="10"/>
      <c r="W64" s="10"/>
      <c r="X64" s="10"/>
      <c r="Y64" s="10"/>
      <c r="Z64" s="10">
        <v>660063</v>
      </c>
      <c r="AA64" s="10">
        <v>1979958</v>
      </c>
      <c r="AB64" s="10">
        <v>321805</v>
      </c>
      <c r="AC64" s="10">
        <v>958788</v>
      </c>
      <c r="AD64" s="10">
        <v>146054</v>
      </c>
      <c r="AE64" s="10">
        <v>495758</v>
      </c>
      <c r="AF64" s="10">
        <v>12778</v>
      </c>
      <c r="AG64" s="10">
        <v>32970</v>
      </c>
      <c r="AH64" s="10">
        <v>53454</v>
      </c>
      <c r="AI64" s="10">
        <v>101656</v>
      </c>
      <c r="AJ64" s="10">
        <v>14982</v>
      </c>
      <c r="AK64" s="10">
        <v>5900</v>
      </c>
      <c r="AL64" s="10">
        <v>13387</v>
      </c>
      <c r="AM64" s="10">
        <v>21111</v>
      </c>
      <c r="AN64" s="10">
        <v>11686</v>
      </c>
      <c r="AO64" s="10">
        <v>67617</v>
      </c>
      <c r="AP64" s="10"/>
      <c r="AQ64" s="10"/>
      <c r="AR64" s="10">
        <v>249656</v>
      </c>
      <c r="AS64" s="10">
        <v>3293135</v>
      </c>
      <c r="AT64" s="10">
        <v>2154404</v>
      </c>
      <c r="AU64" s="10">
        <v>5938888</v>
      </c>
      <c r="AV64" s="10">
        <v>47</v>
      </c>
      <c r="AW64" s="10">
        <v>1506</v>
      </c>
      <c r="AX64" s="10"/>
      <c r="AY64" s="10"/>
      <c r="AZ64" s="10"/>
      <c r="BA64" s="10"/>
      <c r="BB64" s="10">
        <v>90586</v>
      </c>
      <c r="BC64" s="10">
        <v>271260</v>
      </c>
      <c r="BD64" s="10">
        <v>64573</v>
      </c>
      <c r="BE64" s="10">
        <v>186513</v>
      </c>
      <c r="BF64" s="10"/>
      <c r="BG64" s="10"/>
      <c r="BH64" s="10"/>
      <c r="BI64" s="10"/>
      <c r="BJ64" s="10"/>
      <c r="BK64" s="10"/>
      <c r="BL64" s="10">
        <v>177628</v>
      </c>
      <c r="BM64" s="10">
        <v>616486</v>
      </c>
      <c r="BN64" s="10">
        <v>1468107</v>
      </c>
      <c r="BO64" s="10">
        <v>4086289</v>
      </c>
      <c r="BP64" s="10">
        <v>112656</v>
      </c>
      <c r="BQ64" s="10">
        <v>321858</v>
      </c>
      <c r="BR64" s="85">
        <f t="shared" si="10"/>
        <v>6206314</v>
      </c>
      <c r="BS64" s="85">
        <f t="shared" si="11"/>
        <v>20168082</v>
      </c>
    </row>
    <row r="65" spans="1:71" x14ac:dyDescent="0.25">
      <c r="A65" s="26" t="s">
        <v>289</v>
      </c>
      <c r="B65" s="10"/>
      <c r="C65" s="10"/>
      <c r="D65" s="10"/>
      <c r="E65" s="10"/>
      <c r="F65" s="10"/>
      <c r="G65" s="10"/>
      <c r="H65" s="10"/>
      <c r="I65" s="10">
        <v>284</v>
      </c>
      <c r="J65" s="10"/>
      <c r="K65" s="10"/>
      <c r="L65" s="10"/>
      <c r="M65" s="10"/>
      <c r="N65" s="10"/>
      <c r="O65" s="10"/>
      <c r="P65" s="10"/>
      <c r="Q65" s="10"/>
      <c r="R65" s="10">
        <v>5010</v>
      </c>
      <c r="S65" s="10">
        <v>11005</v>
      </c>
      <c r="T65" s="10"/>
      <c r="U65" s="10"/>
      <c r="V65" s="10"/>
      <c r="W65" s="10"/>
      <c r="X65" s="10"/>
      <c r="Y65" s="10"/>
      <c r="Z65" s="10">
        <v>6</v>
      </c>
      <c r="AA65" s="10">
        <v>6</v>
      </c>
      <c r="AB65" s="10"/>
      <c r="AC65" s="10"/>
      <c r="AD65" s="10"/>
      <c r="AE65" s="10"/>
      <c r="AF65" s="10"/>
      <c r="AG65" s="10"/>
      <c r="AH65" s="10"/>
      <c r="AI65" s="10">
        <v>4227</v>
      </c>
      <c r="AJ65" s="10">
        <v>1027</v>
      </c>
      <c r="AK65" s="10">
        <v>22573</v>
      </c>
      <c r="AL65" s="10"/>
      <c r="AM65" s="10"/>
      <c r="AN65" s="10"/>
      <c r="AO65" s="10"/>
      <c r="AP65" s="10"/>
      <c r="AQ65" s="10"/>
      <c r="AR65" s="10">
        <v>5943</v>
      </c>
      <c r="AS65" s="10">
        <v>54032</v>
      </c>
      <c r="AT65" s="10">
        <v>115</v>
      </c>
      <c r="AU65" s="10">
        <v>23086</v>
      </c>
      <c r="AV65" s="10"/>
      <c r="AW65" s="10">
        <v>2</v>
      </c>
      <c r="AX65" s="10">
        <v>8060</v>
      </c>
      <c r="AY65" s="10">
        <v>8060</v>
      </c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>
        <v>1305</v>
      </c>
      <c r="BM65" s="10">
        <v>1305</v>
      </c>
      <c r="BN65" s="10">
        <v>0</v>
      </c>
      <c r="BO65" s="10">
        <v>5478</v>
      </c>
      <c r="BP65" s="10"/>
      <c r="BQ65" s="10"/>
      <c r="BR65" s="85">
        <f t="shared" si="10"/>
        <v>21466</v>
      </c>
      <c r="BS65" s="85">
        <f t="shared" si="11"/>
        <v>130058</v>
      </c>
    </row>
    <row r="66" spans="1:71" x14ac:dyDescent="0.25">
      <c r="A66" s="26" t="s">
        <v>290</v>
      </c>
      <c r="B66" s="10">
        <v>139</v>
      </c>
      <c r="C66" s="10">
        <v>1162</v>
      </c>
      <c r="D66" s="10">
        <v>1361</v>
      </c>
      <c r="E66" s="10">
        <v>5606</v>
      </c>
      <c r="F66" s="10"/>
      <c r="G66" s="10"/>
      <c r="H66" s="10">
        <v>15607</v>
      </c>
      <c r="I66" s="10">
        <v>76865</v>
      </c>
      <c r="J66" s="10">
        <v>26832</v>
      </c>
      <c r="K66" s="10">
        <v>81668</v>
      </c>
      <c r="L66" s="10">
        <v>1442</v>
      </c>
      <c r="M66" s="10">
        <v>6182</v>
      </c>
      <c r="N66" s="10">
        <v>23206</v>
      </c>
      <c r="O66" s="10">
        <v>63377</v>
      </c>
      <c r="P66" s="10">
        <v>-3879</v>
      </c>
      <c r="Q66" s="10">
        <v>-11282</v>
      </c>
      <c r="R66" s="10">
        <v>374</v>
      </c>
      <c r="S66" s="10">
        <v>-18686</v>
      </c>
      <c r="T66" s="10"/>
      <c r="U66" s="10"/>
      <c r="V66" s="10">
        <v>11717</v>
      </c>
      <c r="W66" s="10">
        <v>33221</v>
      </c>
      <c r="X66" s="10">
        <v>160</v>
      </c>
      <c r="Y66" s="10">
        <v>301</v>
      </c>
      <c r="Z66" s="10">
        <v>-141245</v>
      </c>
      <c r="AA66" s="10">
        <v>-416202</v>
      </c>
      <c r="AB66" s="10">
        <v>44889</v>
      </c>
      <c r="AC66" s="10">
        <v>147176</v>
      </c>
      <c r="AD66" s="10">
        <v>17442</v>
      </c>
      <c r="AE66" s="10">
        <v>65344</v>
      </c>
      <c r="AF66" s="10">
        <v>6192</v>
      </c>
      <c r="AG66" s="10">
        <v>11992</v>
      </c>
      <c r="AH66" s="10">
        <v>1699</v>
      </c>
      <c r="AI66" s="10">
        <v>3545</v>
      </c>
      <c r="AJ66" s="10">
        <v>-256</v>
      </c>
      <c r="AK66" s="10">
        <v>-1177</v>
      </c>
      <c r="AL66" s="10">
        <v>-89</v>
      </c>
      <c r="AM66" s="10">
        <v>368</v>
      </c>
      <c r="AN66" s="10">
        <v>2546</v>
      </c>
      <c r="AO66" s="10">
        <v>-3486</v>
      </c>
      <c r="AP66" s="10">
        <v>23833.370999999999</v>
      </c>
      <c r="AQ66" s="10">
        <v>90255.076000000001</v>
      </c>
      <c r="AR66" s="10">
        <v>58256</v>
      </c>
      <c r="AS66" s="10">
        <v>224914</v>
      </c>
      <c r="AT66" s="10">
        <v>216143</v>
      </c>
      <c r="AU66" s="10">
        <v>361033</v>
      </c>
      <c r="AV66" s="10">
        <v>31</v>
      </c>
      <c r="AW66" s="10">
        <v>409</v>
      </c>
      <c r="AX66" s="10">
        <v>9979</v>
      </c>
      <c r="AY66" s="10">
        <v>61479</v>
      </c>
      <c r="AZ66" s="10"/>
      <c r="BA66" s="10"/>
      <c r="BB66" s="10">
        <v>7564</v>
      </c>
      <c r="BC66" s="10">
        <v>42784</v>
      </c>
      <c r="BD66" s="10">
        <v>-12383</v>
      </c>
      <c r="BE66" s="10">
        <v>-23625</v>
      </c>
      <c r="BF66" s="10">
        <v>43287</v>
      </c>
      <c r="BG66" s="10">
        <v>104797</v>
      </c>
      <c r="BH66" s="10">
        <v>61607</v>
      </c>
      <c r="BI66" s="10">
        <v>192588</v>
      </c>
      <c r="BJ66" s="10"/>
      <c r="BK66" s="10"/>
      <c r="BL66" s="10">
        <v>10064</v>
      </c>
      <c r="BM66" s="10">
        <v>31377</v>
      </c>
      <c r="BN66" s="10">
        <v>641205</v>
      </c>
      <c r="BO66" s="10">
        <v>1367533</v>
      </c>
      <c r="BP66" s="10">
        <v>10663</v>
      </c>
      <c r="BQ66" s="10">
        <v>44505</v>
      </c>
      <c r="BR66" s="85">
        <f t="shared" si="10"/>
        <v>1078386.371</v>
      </c>
      <c r="BS66" s="85">
        <f t="shared" si="11"/>
        <v>2544023.0759999999</v>
      </c>
    </row>
    <row r="67" spans="1:71" x14ac:dyDescent="0.25">
      <c r="A67" s="26" t="s">
        <v>286</v>
      </c>
      <c r="B67" s="10">
        <v>3171</v>
      </c>
      <c r="C67" s="10">
        <v>15065</v>
      </c>
      <c r="D67" s="10">
        <v>63783</v>
      </c>
      <c r="E67" s="10">
        <v>116277</v>
      </c>
      <c r="F67" s="10"/>
      <c r="G67" s="10"/>
      <c r="H67" s="10">
        <v>32032</v>
      </c>
      <c r="I67" s="10">
        <v>78935</v>
      </c>
      <c r="J67" s="10">
        <v>404684</v>
      </c>
      <c r="K67" s="10">
        <v>1021294</v>
      </c>
      <c r="L67" s="10">
        <v>28579</v>
      </c>
      <c r="M67" s="10">
        <v>114110</v>
      </c>
      <c r="N67" s="10">
        <v>137844</v>
      </c>
      <c r="O67" s="10">
        <v>455699</v>
      </c>
      <c r="P67" s="10">
        <v>6078</v>
      </c>
      <c r="Q67" s="10">
        <v>10721</v>
      </c>
      <c r="R67" s="10">
        <v>5367</v>
      </c>
      <c r="S67" s="10">
        <v>16706</v>
      </c>
      <c r="T67" s="10"/>
      <c r="U67" s="10"/>
      <c r="V67" s="10">
        <v>85496</v>
      </c>
      <c r="W67" s="10">
        <v>106960</v>
      </c>
      <c r="X67" s="10">
        <v>11953</v>
      </c>
      <c r="Y67" s="10">
        <v>22387</v>
      </c>
      <c r="Z67" s="10">
        <v>476865</v>
      </c>
      <c r="AA67" s="10">
        <v>1410959</v>
      </c>
      <c r="AB67" s="10">
        <v>301437</v>
      </c>
      <c r="AC67" s="10">
        <v>771770</v>
      </c>
      <c r="AD67" s="10">
        <v>128612</v>
      </c>
      <c r="AE67" s="10">
        <v>430414</v>
      </c>
      <c r="AF67" s="10">
        <v>6586</v>
      </c>
      <c r="AG67" s="10">
        <v>20978</v>
      </c>
      <c r="AH67" s="10">
        <v>50299</v>
      </c>
      <c r="AI67" s="10">
        <v>98356</v>
      </c>
      <c r="AJ67" s="10">
        <v>16813</v>
      </c>
      <c r="AK67" s="10">
        <v>29305</v>
      </c>
      <c r="AL67" s="10">
        <v>13476</v>
      </c>
      <c r="AM67" s="10">
        <v>20743</v>
      </c>
      <c r="AN67" s="10">
        <v>9140</v>
      </c>
      <c r="AO67" s="10">
        <v>71103</v>
      </c>
      <c r="AP67" s="10">
        <v>475710.0781692001</v>
      </c>
      <c r="AQ67" s="10">
        <v>1624661.2140000002</v>
      </c>
      <c r="AR67" s="10">
        <v>279125</v>
      </c>
      <c r="AS67" s="10">
        <v>3204034</v>
      </c>
      <c r="AT67" s="10">
        <v>1938376</v>
      </c>
      <c r="AU67" s="10">
        <v>5600941</v>
      </c>
      <c r="AV67" s="10">
        <v>16</v>
      </c>
      <c r="AW67" s="10">
        <v>1100</v>
      </c>
      <c r="AX67" s="10">
        <v>62373</v>
      </c>
      <c r="AY67" s="10">
        <v>199279</v>
      </c>
      <c r="AZ67" s="10"/>
      <c r="BA67" s="10"/>
      <c r="BB67" s="10">
        <v>83022</v>
      </c>
      <c r="BC67" s="10">
        <v>228476</v>
      </c>
      <c r="BD67" s="10">
        <v>51840</v>
      </c>
      <c r="BE67" s="10">
        <v>163207</v>
      </c>
      <c r="BF67" s="10">
        <v>705399</v>
      </c>
      <c r="BG67" s="10">
        <v>1967810</v>
      </c>
      <c r="BH67" s="10">
        <v>11995</v>
      </c>
      <c r="BI67" s="10">
        <v>44051</v>
      </c>
      <c r="BJ67" s="10"/>
      <c r="BK67" s="10"/>
      <c r="BL67" s="10">
        <v>168869</v>
      </c>
      <c r="BM67" s="10">
        <v>586414</v>
      </c>
      <c r="BN67" s="10">
        <v>826902</v>
      </c>
      <c r="BO67" s="10">
        <v>2724234</v>
      </c>
      <c r="BP67" s="10">
        <v>101993</v>
      </c>
      <c r="BQ67" s="10">
        <v>277353</v>
      </c>
      <c r="BR67" s="85">
        <f>SUM(B67+D67+F67+H67+J67+L67+N67+P67+R67+T67+V67+X67+Z67+AB67+AD67+AF67+AH67+AJ67+AL67+AN67+AP67+AR67+AT67+AV67+AX67+AZ67+BB67+BD67+BF67+BH67+BJ67+BL67+BN67+BP67)</f>
        <v>6487835.0781692006</v>
      </c>
      <c r="BS67" s="85">
        <f>SUM(C67+E67+G67+I67+K67+M67+O67+Q67+S67+U67+W67+Y67+AA67+AC67+AE67+AG67+AI67+AK67+AM67+AO67+AQ67+AS67+AU67+AW67+AY67+BA67+BC67+BE67+BG67+BI67+BK67+BM67+BO67+BQ67)</f>
        <v>21433342.214000002</v>
      </c>
    </row>
    <row r="68" spans="1:71" x14ac:dyDescent="0.25">
      <c r="A68" s="18"/>
    </row>
    <row r="69" spans="1:71" x14ac:dyDescent="0.25">
      <c r="A69" s="33" t="s">
        <v>235</v>
      </c>
    </row>
    <row r="70" spans="1:71" x14ac:dyDescent="0.25">
      <c r="A70" s="3" t="s">
        <v>0</v>
      </c>
      <c r="B70" s="107" t="s">
        <v>1</v>
      </c>
      <c r="C70" s="108"/>
      <c r="D70" s="107" t="s">
        <v>2</v>
      </c>
      <c r="E70" s="108"/>
      <c r="F70" s="107" t="s">
        <v>3</v>
      </c>
      <c r="G70" s="108"/>
      <c r="H70" s="107" t="s">
        <v>307</v>
      </c>
      <c r="I70" s="108"/>
      <c r="J70" s="107" t="s">
        <v>5</v>
      </c>
      <c r="K70" s="108"/>
      <c r="L70" s="107" t="s">
        <v>6</v>
      </c>
      <c r="M70" s="108"/>
      <c r="N70" s="107" t="s">
        <v>7</v>
      </c>
      <c r="O70" s="108"/>
      <c r="P70" s="107" t="s">
        <v>8</v>
      </c>
      <c r="Q70" s="108"/>
      <c r="R70" s="107" t="s">
        <v>9</v>
      </c>
      <c r="S70" s="108"/>
      <c r="T70" s="107" t="s">
        <v>10</v>
      </c>
      <c r="U70" s="108"/>
      <c r="V70" s="107" t="s">
        <v>11</v>
      </c>
      <c r="W70" s="108"/>
      <c r="X70" s="107" t="s">
        <v>12</v>
      </c>
      <c r="Y70" s="108"/>
      <c r="Z70" s="107" t="s">
        <v>13</v>
      </c>
      <c r="AA70" s="108"/>
      <c r="AB70" s="107" t="s">
        <v>14</v>
      </c>
      <c r="AC70" s="108"/>
      <c r="AD70" s="107" t="s">
        <v>15</v>
      </c>
      <c r="AE70" s="108"/>
      <c r="AF70" s="107" t="s">
        <v>16</v>
      </c>
      <c r="AG70" s="108"/>
      <c r="AH70" s="107" t="s">
        <v>17</v>
      </c>
      <c r="AI70" s="108"/>
      <c r="AJ70" s="107" t="s">
        <v>18</v>
      </c>
      <c r="AK70" s="108"/>
      <c r="AL70" s="107" t="s">
        <v>296</v>
      </c>
      <c r="AM70" s="108"/>
      <c r="AN70" s="107" t="s">
        <v>19</v>
      </c>
      <c r="AO70" s="108"/>
      <c r="AP70" s="107" t="s">
        <v>20</v>
      </c>
      <c r="AQ70" s="108"/>
      <c r="AR70" s="107" t="s">
        <v>21</v>
      </c>
      <c r="AS70" s="108"/>
      <c r="AT70" s="107" t="s">
        <v>22</v>
      </c>
      <c r="AU70" s="108"/>
      <c r="AV70" s="107" t="s">
        <v>23</v>
      </c>
      <c r="AW70" s="108"/>
      <c r="AX70" s="107" t="s">
        <v>24</v>
      </c>
      <c r="AY70" s="108"/>
      <c r="AZ70" s="107" t="s">
        <v>25</v>
      </c>
      <c r="BA70" s="108"/>
      <c r="BB70" s="107" t="s">
        <v>26</v>
      </c>
      <c r="BC70" s="108"/>
      <c r="BD70" s="107" t="s">
        <v>27</v>
      </c>
      <c r="BE70" s="108"/>
      <c r="BF70" s="107" t="s">
        <v>28</v>
      </c>
      <c r="BG70" s="108"/>
      <c r="BH70" s="107" t="s">
        <v>29</v>
      </c>
      <c r="BI70" s="108"/>
      <c r="BJ70" s="107" t="s">
        <v>30</v>
      </c>
      <c r="BK70" s="108"/>
      <c r="BL70" s="107" t="s">
        <v>31</v>
      </c>
      <c r="BM70" s="108"/>
      <c r="BN70" s="111" t="s">
        <v>32</v>
      </c>
      <c r="BO70" s="112"/>
      <c r="BP70" s="107" t="s">
        <v>33</v>
      </c>
      <c r="BQ70" s="108"/>
      <c r="BR70" s="109" t="s">
        <v>34</v>
      </c>
      <c r="BS70" s="110"/>
    </row>
    <row r="71" spans="1:71" ht="30" x14ac:dyDescent="0.25">
      <c r="A71" s="3"/>
      <c r="B71" s="66" t="s">
        <v>294</v>
      </c>
      <c r="C71" s="67" t="s">
        <v>295</v>
      </c>
      <c r="D71" s="66" t="s">
        <v>294</v>
      </c>
      <c r="E71" s="67" t="s">
        <v>295</v>
      </c>
      <c r="F71" s="66" t="s">
        <v>294</v>
      </c>
      <c r="G71" s="67" t="s">
        <v>295</v>
      </c>
      <c r="H71" s="66" t="s">
        <v>294</v>
      </c>
      <c r="I71" s="67" t="s">
        <v>295</v>
      </c>
      <c r="J71" s="66" t="s">
        <v>294</v>
      </c>
      <c r="K71" s="67" t="s">
        <v>295</v>
      </c>
      <c r="L71" s="66" t="s">
        <v>294</v>
      </c>
      <c r="M71" s="67" t="s">
        <v>295</v>
      </c>
      <c r="N71" s="66" t="s">
        <v>294</v>
      </c>
      <c r="O71" s="67" t="s">
        <v>295</v>
      </c>
      <c r="P71" s="66" t="s">
        <v>294</v>
      </c>
      <c r="Q71" s="67" t="s">
        <v>295</v>
      </c>
      <c r="R71" s="66" t="s">
        <v>294</v>
      </c>
      <c r="S71" s="67" t="s">
        <v>295</v>
      </c>
      <c r="T71" s="66" t="s">
        <v>294</v>
      </c>
      <c r="U71" s="67" t="s">
        <v>295</v>
      </c>
      <c r="V71" s="66" t="s">
        <v>294</v>
      </c>
      <c r="W71" s="67" t="s">
        <v>295</v>
      </c>
      <c r="X71" s="66" t="s">
        <v>294</v>
      </c>
      <c r="Y71" s="67" t="s">
        <v>295</v>
      </c>
      <c r="Z71" s="66" t="s">
        <v>294</v>
      </c>
      <c r="AA71" s="67" t="s">
        <v>295</v>
      </c>
      <c r="AB71" s="66" t="s">
        <v>294</v>
      </c>
      <c r="AC71" s="67" t="s">
        <v>295</v>
      </c>
      <c r="AD71" s="66" t="s">
        <v>294</v>
      </c>
      <c r="AE71" s="67" t="s">
        <v>295</v>
      </c>
      <c r="AF71" s="66" t="s">
        <v>294</v>
      </c>
      <c r="AG71" s="67" t="s">
        <v>295</v>
      </c>
      <c r="AH71" s="66" t="s">
        <v>294</v>
      </c>
      <c r="AI71" s="67" t="s">
        <v>295</v>
      </c>
      <c r="AJ71" s="66" t="s">
        <v>294</v>
      </c>
      <c r="AK71" s="67" t="s">
        <v>295</v>
      </c>
      <c r="AL71" s="66" t="s">
        <v>294</v>
      </c>
      <c r="AM71" s="67" t="s">
        <v>295</v>
      </c>
      <c r="AN71" s="66" t="s">
        <v>294</v>
      </c>
      <c r="AO71" s="67" t="s">
        <v>295</v>
      </c>
      <c r="AP71" s="66" t="s">
        <v>294</v>
      </c>
      <c r="AQ71" s="67" t="s">
        <v>295</v>
      </c>
      <c r="AR71" s="66" t="s">
        <v>294</v>
      </c>
      <c r="AS71" s="67" t="s">
        <v>295</v>
      </c>
      <c r="AT71" s="66" t="s">
        <v>294</v>
      </c>
      <c r="AU71" s="67" t="s">
        <v>295</v>
      </c>
      <c r="AV71" s="66" t="s">
        <v>294</v>
      </c>
      <c r="AW71" s="67" t="s">
        <v>295</v>
      </c>
      <c r="AX71" s="66" t="s">
        <v>294</v>
      </c>
      <c r="AY71" s="67" t="s">
        <v>295</v>
      </c>
      <c r="AZ71" s="66" t="s">
        <v>294</v>
      </c>
      <c r="BA71" s="67" t="s">
        <v>295</v>
      </c>
      <c r="BB71" s="66" t="s">
        <v>294</v>
      </c>
      <c r="BC71" s="67" t="s">
        <v>295</v>
      </c>
      <c r="BD71" s="66" t="s">
        <v>294</v>
      </c>
      <c r="BE71" s="67" t="s">
        <v>295</v>
      </c>
      <c r="BF71" s="66" t="s">
        <v>294</v>
      </c>
      <c r="BG71" s="67" t="s">
        <v>295</v>
      </c>
      <c r="BH71" s="66" t="s">
        <v>294</v>
      </c>
      <c r="BI71" s="67" t="s">
        <v>295</v>
      </c>
      <c r="BJ71" s="66" t="s">
        <v>294</v>
      </c>
      <c r="BK71" s="67" t="s">
        <v>295</v>
      </c>
      <c r="BL71" s="66" t="s">
        <v>294</v>
      </c>
      <c r="BM71" s="67" t="s">
        <v>295</v>
      </c>
      <c r="BN71" s="66" t="s">
        <v>294</v>
      </c>
      <c r="BO71" s="67" t="s">
        <v>295</v>
      </c>
      <c r="BP71" s="66" t="s">
        <v>294</v>
      </c>
      <c r="BQ71" s="67" t="s">
        <v>295</v>
      </c>
      <c r="BR71" s="66" t="s">
        <v>294</v>
      </c>
      <c r="BS71" s="67" t="s">
        <v>295</v>
      </c>
    </row>
    <row r="72" spans="1:71" x14ac:dyDescent="0.25">
      <c r="A72" s="26" t="s">
        <v>241</v>
      </c>
      <c r="B72" s="10">
        <v>108087</v>
      </c>
      <c r="C72" s="10">
        <v>192091</v>
      </c>
      <c r="D72" s="10"/>
      <c r="E72" s="10"/>
      <c r="F72" s="10"/>
      <c r="G72" s="10"/>
      <c r="H72" s="10"/>
      <c r="I72" s="10"/>
      <c r="J72" s="10">
        <v>29573</v>
      </c>
      <c r="K72" s="10">
        <v>97823</v>
      </c>
      <c r="L72" s="10">
        <v>1625</v>
      </c>
      <c r="M72" s="10">
        <v>734</v>
      </c>
      <c r="N72" s="10">
        <v>6752</v>
      </c>
      <c r="O72" s="10">
        <v>22935</v>
      </c>
      <c r="P72" s="10"/>
      <c r="Q72" s="10"/>
      <c r="R72" s="10"/>
      <c r="S72" s="10"/>
      <c r="T72" s="10"/>
      <c r="U72" s="10"/>
      <c r="V72" s="10">
        <v>1478</v>
      </c>
      <c r="W72" s="10">
        <v>10227</v>
      </c>
      <c r="X72" s="10"/>
      <c r="Y72" s="10"/>
      <c r="Z72" s="10"/>
      <c r="AA72" s="10">
        <v>36</v>
      </c>
      <c r="AB72" s="10">
        <v>39757</v>
      </c>
      <c r="AC72" s="10">
        <v>165365</v>
      </c>
      <c r="AD72" s="10">
        <v>623</v>
      </c>
      <c r="AE72" s="10">
        <v>14948</v>
      </c>
      <c r="AF72" s="10"/>
      <c r="AG72" s="10"/>
      <c r="AH72" s="10"/>
      <c r="AI72" s="10">
        <v>94</v>
      </c>
      <c r="AJ72" s="10"/>
      <c r="AK72" s="10"/>
      <c r="AL72" s="10"/>
      <c r="AM72" s="10"/>
      <c r="AN72" s="10"/>
      <c r="AO72" s="10"/>
      <c r="AP72" s="10">
        <v>11512.019000000002</v>
      </c>
      <c r="AQ72" s="10">
        <v>22065.812000000002</v>
      </c>
      <c r="AR72" s="10">
        <v>305444</v>
      </c>
      <c r="AS72" s="10">
        <v>1169657</v>
      </c>
      <c r="AT72" s="10">
        <v>10854</v>
      </c>
      <c r="AU72" s="10">
        <v>38693</v>
      </c>
      <c r="AV72" s="10">
        <v>222</v>
      </c>
      <c r="AW72" s="10">
        <v>2388</v>
      </c>
      <c r="AX72" s="10">
        <v>1793</v>
      </c>
      <c r="AY72" s="10">
        <v>4146</v>
      </c>
      <c r="AZ72" s="10"/>
      <c r="BA72" s="10"/>
      <c r="BB72" s="10"/>
      <c r="BC72" s="10"/>
      <c r="BD72" s="10">
        <v>3566</v>
      </c>
      <c r="BE72" s="10">
        <v>5603</v>
      </c>
      <c r="BF72" s="10">
        <v>4144</v>
      </c>
      <c r="BG72" s="10">
        <v>9394</v>
      </c>
      <c r="BH72" s="10"/>
      <c r="BI72" s="10"/>
      <c r="BJ72" s="10"/>
      <c r="BK72" s="10"/>
      <c r="BL72" s="10">
        <v>304284</v>
      </c>
      <c r="BM72" s="10">
        <v>487303</v>
      </c>
      <c r="BN72" s="10">
        <v>30553</v>
      </c>
      <c r="BO72" s="10">
        <v>118264</v>
      </c>
      <c r="BP72" s="10">
        <v>51</v>
      </c>
      <c r="BQ72" s="10">
        <v>51</v>
      </c>
      <c r="BR72" s="85">
        <f>SUM(B72+D72+F72+H72+J72+L72+N72+P72+R72+T72+V72+X72+Z72+AB72+AD72+AF72+AH72+AJ72+AL72+AN72+AP72+AR72+AT72+AV72+AX72+AZ72+BB72+BD72+BF72+BH72+BJ72+BL72+BN72+BP72)</f>
        <v>860318.01899999997</v>
      </c>
      <c r="BS72" s="85">
        <f>SUM(C72+E72+G72+I72+K72+M72+O72+Q72+S72+U72+W72+Y72+AA72+AC72+AE72+AG72+AI72+AK72+AM72+AO72+AQ72+AS72+AU72+AW72+AY72+BA72+BC72+BE72+BG72+BI72+BK72+BM72+BO72+BQ72)</f>
        <v>2361817.8119999999</v>
      </c>
    </row>
    <row r="73" spans="1:71" x14ac:dyDescent="0.25">
      <c r="A73" s="10" t="s">
        <v>292</v>
      </c>
      <c r="B73" s="10">
        <v>26589</v>
      </c>
      <c r="C73" s="10">
        <v>26589</v>
      </c>
      <c r="D73" s="10"/>
      <c r="E73" s="10"/>
      <c r="F73" s="10"/>
      <c r="G73" s="10"/>
      <c r="H73" s="10"/>
      <c r="I73" s="10"/>
      <c r="J73" s="10">
        <v>-5268</v>
      </c>
      <c r="K73" s="10">
        <v>79676</v>
      </c>
      <c r="L73" s="10">
        <v>12988</v>
      </c>
      <c r="M73" s="10">
        <v>213054</v>
      </c>
      <c r="N73" s="10">
        <v>12415</v>
      </c>
      <c r="O73" s="10">
        <v>12415</v>
      </c>
      <c r="P73" s="10"/>
      <c r="Q73" s="10"/>
      <c r="R73" s="10"/>
      <c r="S73" s="10"/>
      <c r="T73" s="10"/>
      <c r="U73" s="10"/>
      <c r="V73" s="10">
        <v>22344</v>
      </c>
      <c r="W73" s="10">
        <v>22344</v>
      </c>
      <c r="X73" s="10"/>
      <c r="Y73" s="10"/>
      <c r="Z73" s="10">
        <v>10837</v>
      </c>
      <c r="AA73" s="10">
        <v>10837</v>
      </c>
      <c r="AB73" s="10">
        <v>482564</v>
      </c>
      <c r="AC73" s="10">
        <v>482564</v>
      </c>
      <c r="AD73" s="10">
        <v>17555</v>
      </c>
      <c r="AE73" s="10">
        <v>220510</v>
      </c>
      <c r="AF73" s="10"/>
      <c r="AG73" s="10"/>
      <c r="AH73" s="10">
        <v>26153</v>
      </c>
      <c r="AI73" s="10">
        <v>26153</v>
      </c>
      <c r="AJ73" s="10">
        <v>2195</v>
      </c>
      <c r="AK73" s="10">
        <v>2195</v>
      </c>
      <c r="AL73" s="10"/>
      <c r="AM73" s="10"/>
      <c r="AN73" s="10"/>
      <c r="AO73" s="10"/>
      <c r="AP73" s="10">
        <v>252835.81781767274</v>
      </c>
      <c r="AQ73" s="10">
        <v>602720.69300000009</v>
      </c>
      <c r="AR73" s="10">
        <v>5725119</v>
      </c>
      <c r="AS73" s="10">
        <v>5725119</v>
      </c>
      <c r="AT73" s="10">
        <v>49308</v>
      </c>
      <c r="AU73" s="10">
        <v>1421164</v>
      </c>
      <c r="AV73" s="10">
        <v>3168</v>
      </c>
      <c r="AW73" s="10">
        <v>51546</v>
      </c>
      <c r="AX73" s="10">
        <v>196650</v>
      </c>
      <c r="AY73" s="10">
        <v>196650</v>
      </c>
      <c r="AZ73" s="10"/>
      <c r="BA73" s="10"/>
      <c r="BB73" s="10"/>
      <c r="BC73" s="10"/>
      <c r="BD73" s="10">
        <v>-4108</v>
      </c>
      <c r="BE73" s="10">
        <v>29240</v>
      </c>
      <c r="BF73" s="10">
        <v>46563</v>
      </c>
      <c r="BG73" s="10">
        <v>46563</v>
      </c>
      <c r="BH73" s="10">
        <v>6139</v>
      </c>
      <c r="BI73" s="10">
        <v>6139</v>
      </c>
      <c r="BJ73" s="10"/>
      <c r="BK73" s="10"/>
      <c r="BL73" s="10">
        <v>3133</v>
      </c>
      <c r="BM73" s="10">
        <v>2368505</v>
      </c>
      <c r="BN73" s="10">
        <v>1901953</v>
      </c>
      <c r="BO73" s="10">
        <v>1901953</v>
      </c>
      <c r="BP73" s="10">
        <v>-703</v>
      </c>
      <c r="BQ73" s="10">
        <v>2009</v>
      </c>
      <c r="BR73" s="85">
        <f t="shared" ref="BR73:BR77" si="12">SUM(B73+D73+F73+H73+J73+L73+N73+P73+R73+T73+V73+X73+Z73+AB73+AD73+AF73+AH73+AJ73+AL73+AN73+AP73+AR73+AT73+AV73+AX73+AZ73+BB73+BD73+BF73+BH73+BJ73+BL73+BN73+BP73)</f>
        <v>8788429.8178176731</v>
      </c>
      <c r="BS73" s="85">
        <f t="shared" ref="BS73:BS77" si="13">SUM(C73+E73+G73+I73+K73+M73+O73+Q73+S73+U73+W73+Y73+AA73+AC73+AE73+AG73+AI73+AK73+AM73+AO73+AQ73+AS73+AU73+AW73+AY73+BA73+BC73+BE73+BG73+BI73+BK73+BM73+BO73+BQ73)</f>
        <v>13447945.693</v>
      </c>
    </row>
    <row r="74" spans="1:71" x14ac:dyDescent="0.25">
      <c r="A74" s="10" t="s">
        <v>291</v>
      </c>
      <c r="B74" s="10">
        <v>34297</v>
      </c>
      <c r="C74" s="10">
        <v>13255</v>
      </c>
      <c r="D74" s="10"/>
      <c r="E74" s="10"/>
      <c r="F74" s="10"/>
      <c r="G74" s="10"/>
      <c r="H74" s="10"/>
      <c r="I74" s="10"/>
      <c r="J74" s="10"/>
      <c r="K74" s="10">
        <v>82533</v>
      </c>
      <c r="L74" s="10"/>
      <c r="M74" s="10">
        <v>153032</v>
      </c>
      <c r="N74" s="10">
        <v>14550</v>
      </c>
      <c r="O74" s="10">
        <v>18578</v>
      </c>
      <c r="P74" s="10"/>
      <c r="Q74" s="10"/>
      <c r="R74" s="10"/>
      <c r="S74" s="10"/>
      <c r="T74" s="10"/>
      <c r="U74" s="10"/>
      <c r="V74" s="10">
        <v>17699</v>
      </c>
      <c r="W74" s="10">
        <v>16978</v>
      </c>
      <c r="X74" s="10"/>
      <c r="Y74" s="10"/>
      <c r="Z74" s="10">
        <v>-10068</v>
      </c>
      <c r="AA74" s="10">
        <v>-8638</v>
      </c>
      <c r="AB74" s="10">
        <v>417270</v>
      </c>
      <c r="AC74" s="10">
        <v>430961</v>
      </c>
      <c r="AD74" s="10"/>
      <c r="AE74" s="10">
        <v>154799</v>
      </c>
      <c r="AF74" s="10"/>
      <c r="AG74" s="10"/>
      <c r="AH74" s="10">
        <v>38247</v>
      </c>
      <c r="AI74" s="10">
        <v>36102</v>
      </c>
      <c r="AJ74" s="10">
        <v>-2138</v>
      </c>
      <c r="AK74" s="10">
        <v>-2021</v>
      </c>
      <c r="AL74" s="10"/>
      <c r="AM74" s="10"/>
      <c r="AN74" s="10"/>
      <c r="AO74" s="10"/>
      <c r="AP74" s="10">
        <v>0</v>
      </c>
      <c r="AQ74" s="10">
        <v>325793.429</v>
      </c>
      <c r="AR74" s="10">
        <v>5083594</v>
      </c>
      <c r="AS74" s="10">
        <v>5083594</v>
      </c>
      <c r="AT74" s="10">
        <v>0</v>
      </c>
      <c r="AU74" s="10">
        <v>1347162</v>
      </c>
      <c r="AV74" s="10"/>
      <c r="AW74" s="10">
        <v>48065</v>
      </c>
      <c r="AX74" s="10">
        <v>176167</v>
      </c>
      <c r="AY74" s="10">
        <v>155010</v>
      </c>
      <c r="AZ74" s="10"/>
      <c r="BA74" s="10"/>
      <c r="BB74" s="10"/>
      <c r="BC74" s="10"/>
      <c r="BD74" s="10"/>
      <c r="BE74" s="10">
        <v>-31333</v>
      </c>
      <c r="BF74" s="10">
        <v>42709</v>
      </c>
      <c r="BG74" s="10">
        <v>34635</v>
      </c>
      <c r="BH74" s="10">
        <v>6420</v>
      </c>
      <c r="BI74" s="10">
        <v>6419</v>
      </c>
      <c r="BJ74" s="10"/>
      <c r="BK74" s="10"/>
      <c r="BL74" s="10"/>
      <c r="BM74" s="10">
        <v>2018781</v>
      </c>
      <c r="BN74" s="10">
        <v>1520213</v>
      </c>
      <c r="BO74" s="10">
        <v>1457832</v>
      </c>
      <c r="BP74" s="10"/>
      <c r="BQ74" s="10">
        <v>2428</v>
      </c>
      <c r="BR74" s="85">
        <f t="shared" si="12"/>
        <v>7338960</v>
      </c>
      <c r="BS74" s="85">
        <f t="shared" si="13"/>
        <v>11343965.429</v>
      </c>
    </row>
    <row r="75" spans="1:71" x14ac:dyDescent="0.25">
      <c r="A75" s="26" t="s">
        <v>306</v>
      </c>
      <c r="B75" s="10"/>
      <c r="C75" s="10"/>
      <c r="D75" s="10"/>
      <c r="E75" s="10"/>
      <c r="F75" s="10"/>
      <c r="G75" s="10"/>
      <c r="H75" s="10"/>
      <c r="I75" s="10"/>
      <c r="J75" s="10">
        <v>24305</v>
      </c>
      <c r="K75" s="10">
        <v>94966</v>
      </c>
      <c r="L75" s="10"/>
      <c r="M75" s="10"/>
      <c r="N75" s="10">
        <v>4617</v>
      </c>
      <c r="O75" s="10">
        <v>16772</v>
      </c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>
        <v>769</v>
      </c>
      <c r="AA75" s="10">
        <v>2235</v>
      </c>
      <c r="AB75" s="10">
        <v>105051</v>
      </c>
      <c r="AC75" s="10">
        <v>216968</v>
      </c>
      <c r="AD75" s="10">
        <v>18178</v>
      </c>
      <c r="AE75" s="10">
        <v>80659</v>
      </c>
      <c r="AF75" s="10"/>
      <c r="AG75" s="10"/>
      <c r="AH75" s="10">
        <v>-12093</v>
      </c>
      <c r="AI75" s="10">
        <v>-9855</v>
      </c>
      <c r="AJ75" s="10">
        <v>57</v>
      </c>
      <c r="AK75" s="10">
        <v>174</v>
      </c>
      <c r="AL75" s="10"/>
      <c r="AM75" s="10"/>
      <c r="AN75" s="10"/>
      <c r="AO75" s="10"/>
      <c r="AP75" s="10"/>
      <c r="AQ75" s="10"/>
      <c r="AR75" s="10">
        <v>946968</v>
      </c>
      <c r="AS75" s="10">
        <v>1811182</v>
      </c>
      <c r="AT75" s="10">
        <v>60162</v>
      </c>
      <c r="AU75" s="10">
        <v>112695</v>
      </c>
      <c r="AV75" s="10">
        <v>3390</v>
      </c>
      <c r="AW75" s="10">
        <v>5868</v>
      </c>
      <c r="AX75" s="10"/>
      <c r="AY75" s="10"/>
      <c r="AZ75" s="10"/>
      <c r="BA75" s="10"/>
      <c r="BB75" s="10"/>
      <c r="BC75" s="10"/>
      <c r="BD75" s="10">
        <v>-542</v>
      </c>
      <c r="BE75" s="10">
        <v>3510</v>
      </c>
      <c r="BF75" s="10"/>
      <c r="BG75" s="10"/>
      <c r="BH75" s="10"/>
      <c r="BI75" s="10"/>
      <c r="BJ75" s="10"/>
      <c r="BK75" s="10"/>
      <c r="BL75" s="10">
        <v>307417</v>
      </c>
      <c r="BM75" s="10">
        <v>837027</v>
      </c>
      <c r="BN75" s="10">
        <v>412293</v>
      </c>
      <c r="BO75" s="10">
        <v>562385</v>
      </c>
      <c r="BP75" s="10">
        <v>-652</v>
      </c>
      <c r="BQ75" s="10">
        <v>-368</v>
      </c>
      <c r="BR75" s="85">
        <f t="shared" si="12"/>
        <v>1869920</v>
      </c>
      <c r="BS75" s="85">
        <f t="shared" si="13"/>
        <v>3734218</v>
      </c>
    </row>
    <row r="76" spans="1:71" x14ac:dyDescent="0.25">
      <c r="A76" s="26" t="s">
        <v>289</v>
      </c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>
        <v>25</v>
      </c>
      <c r="AS76" s="10">
        <v>5941</v>
      </c>
      <c r="AT76" s="10">
        <v>294</v>
      </c>
      <c r="AU76" s="10">
        <v>15433</v>
      </c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>
        <v>2066</v>
      </c>
      <c r="BH76" s="10"/>
      <c r="BI76" s="10"/>
      <c r="BJ76" s="10"/>
      <c r="BK76" s="10"/>
      <c r="BL76" s="10">
        <v>11028</v>
      </c>
      <c r="BM76" s="10">
        <v>12820</v>
      </c>
      <c r="BN76" s="10">
        <v>0</v>
      </c>
      <c r="BO76" s="10">
        <v>3</v>
      </c>
      <c r="BP76" s="10"/>
      <c r="BQ76" s="10"/>
      <c r="BR76" s="85">
        <f t="shared" si="12"/>
        <v>11347</v>
      </c>
      <c r="BS76" s="85">
        <f t="shared" si="13"/>
        <v>36263</v>
      </c>
    </row>
    <row r="77" spans="1:71" x14ac:dyDescent="0.25">
      <c r="A77" s="26" t="s">
        <v>290</v>
      </c>
      <c r="B77" s="10">
        <v>70256</v>
      </c>
      <c r="C77" s="10">
        <v>124859</v>
      </c>
      <c r="D77" s="10"/>
      <c r="E77" s="10"/>
      <c r="F77" s="10"/>
      <c r="G77" s="10"/>
      <c r="H77" s="10"/>
      <c r="I77" s="10"/>
      <c r="J77" s="10">
        <v>27258</v>
      </c>
      <c r="K77" s="10">
        <v>94517</v>
      </c>
      <c r="L77" s="10">
        <v>-8933</v>
      </c>
      <c r="M77" s="10">
        <v>-7940</v>
      </c>
      <c r="N77" s="10">
        <v>5418</v>
      </c>
      <c r="O77" s="10">
        <v>19073</v>
      </c>
      <c r="P77" s="10"/>
      <c r="Q77" s="10"/>
      <c r="R77" s="10"/>
      <c r="S77" s="10"/>
      <c r="T77" s="10"/>
      <c r="U77" s="10"/>
      <c r="V77" s="10">
        <v>74</v>
      </c>
      <c r="W77" s="10">
        <v>1159</v>
      </c>
      <c r="X77" s="10"/>
      <c r="Y77" s="10"/>
      <c r="Z77" s="10"/>
      <c r="AA77" s="10">
        <v>-2</v>
      </c>
      <c r="AB77" s="10">
        <v>17133</v>
      </c>
      <c r="AC77" s="10">
        <v>45758</v>
      </c>
      <c r="AD77" s="10">
        <v>35</v>
      </c>
      <c r="AE77" s="10">
        <v>5988</v>
      </c>
      <c r="AF77" s="10"/>
      <c r="AG77" s="10"/>
      <c r="AH77" s="10"/>
      <c r="AI77" s="10">
        <v>5</v>
      </c>
      <c r="AJ77" s="10"/>
      <c r="AK77" s="10"/>
      <c r="AL77" s="10"/>
      <c r="AM77" s="10"/>
      <c r="AN77" s="10"/>
      <c r="AO77" s="10"/>
      <c r="AP77" s="10">
        <v>576.64499999999998</v>
      </c>
      <c r="AQ77" s="10">
        <v>1112.489</v>
      </c>
      <c r="AR77" s="10">
        <v>15805</v>
      </c>
      <c r="AS77" s="10">
        <v>59713</v>
      </c>
      <c r="AT77" s="10">
        <v>9470</v>
      </c>
      <c r="AU77" s="10">
        <v>30866</v>
      </c>
      <c r="AV77" s="10">
        <v>11</v>
      </c>
      <c r="AW77" s="10">
        <v>119</v>
      </c>
      <c r="AX77" s="10">
        <v>93</v>
      </c>
      <c r="AY77" s="10">
        <v>219</v>
      </c>
      <c r="AZ77" s="10"/>
      <c r="BA77" s="10"/>
      <c r="BB77" s="10"/>
      <c r="BC77" s="10"/>
      <c r="BD77" s="10">
        <v>-178</v>
      </c>
      <c r="BE77" s="10">
        <v>-311</v>
      </c>
      <c r="BF77" s="10">
        <v>5117</v>
      </c>
      <c r="BG77" s="10">
        <v>9694</v>
      </c>
      <c r="BH77" s="10"/>
      <c r="BI77" s="10"/>
      <c r="BJ77" s="10"/>
      <c r="BK77" s="10"/>
      <c r="BL77" s="10">
        <v>172158</v>
      </c>
      <c r="BM77" s="10">
        <v>219481</v>
      </c>
      <c r="BN77" s="10">
        <v>1900</v>
      </c>
      <c r="BO77" s="10">
        <v>8560</v>
      </c>
      <c r="BP77" s="10">
        <v>3</v>
      </c>
      <c r="BQ77" s="10">
        <v>3</v>
      </c>
      <c r="BR77" s="85">
        <f t="shared" si="12"/>
        <v>316196.64500000002</v>
      </c>
      <c r="BS77" s="85">
        <f t="shared" si="13"/>
        <v>612873.48900000006</v>
      </c>
    </row>
    <row r="78" spans="1:71" x14ac:dyDescent="0.25">
      <c r="A78" s="26" t="s">
        <v>286</v>
      </c>
      <c r="B78" s="10">
        <v>30123</v>
      </c>
      <c r="C78" s="10">
        <v>80566</v>
      </c>
      <c r="D78" s="10"/>
      <c r="E78" s="10"/>
      <c r="F78" s="10"/>
      <c r="G78" s="10"/>
      <c r="H78" s="10"/>
      <c r="I78" s="10"/>
      <c r="J78" s="10">
        <v>-2953</v>
      </c>
      <c r="K78" s="10">
        <v>449</v>
      </c>
      <c r="L78" s="10">
        <v>23545</v>
      </c>
      <c r="M78" s="10">
        <v>68696</v>
      </c>
      <c r="N78" s="10">
        <v>-801</v>
      </c>
      <c r="O78" s="10">
        <v>-2301</v>
      </c>
      <c r="P78" s="10"/>
      <c r="Q78" s="10"/>
      <c r="R78" s="10"/>
      <c r="S78" s="10"/>
      <c r="T78" s="10"/>
      <c r="U78" s="10"/>
      <c r="V78" s="10">
        <v>6050</v>
      </c>
      <c r="W78" s="10">
        <v>14434</v>
      </c>
      <c r="X78" s="10"/>
      <c r="Y78" s="10"/>
      <c r="Z78" s="10">
        <v>730</v>
      </c>
      <c r="AA78" s="10">
        <v>2123</v>
      </c>
      <c r="AB78" s="10">
        <v>34693</v>
      </c>
      <c r="AC78" s="10">
        <v>118322</v>
      </c>
      <c r="AD78" s="10">
        <v>18143</v>
      </c>
      <c r="AE78" s="10">
        <v>74671</v>
      </c>
      <c r="AF78" s="10"/>
      <c r="AG78" s="10"/>
      <c r="AH78" s="10">
        <v>-9301</v>
      </c>
      <c r="AI78" s="10">
        <v>1685</v>
      </c>
      <c r="AJ78" s="10">
        <v>26</v>
      </c>
      <c r="AK78" s="10">
        <v>83</v>
      </c>
      <c r="AL78" s="10"/>
      <c r="AM78" s="10"/>
      <c r="AN78" s="10"/>
      <c r="AO78" s="10"/>
      <c r="AP78" s="10">
        <v>263771.19181767275</v>
      </c>
      <c r="AQ78" s="10">
        <v>297880.58700000006</v>
      </c>
      <c r="AR78" s="10">
        <v>817571</v>
      </c>
      <c r="AS78" s="10">
        <v>1643793</v>
      </c>
      <c r="AT78" s="10">
        <v>50986</v>
      </c>
      <c r="AU78" s="10">
        <v>97261</v>
      </c>
      <c r="AV78" s="10">
        <v>3379</v>
      </c>
      <c r="AW78" s="10">
        <v>5749</v>
      </c>
      <c r="AX78" s="10">
        <v>22183</v>
      </c>
      <c r="AY78" s="10">
        <v>45567</v>
      </c>
      <c r="AZ78" s="10"/>
      <c r="BA78" s="10"/>
      <c r="BB78" s="10"/>
      <c r="BC78" s="10"/>
      <c r="BD78" s="10">
        <v>-483</v>
      </c>
      <c r="BE78" s="10">
        <v>3817</v>
      </c>
      <c r="BF78" s="10">
        <v>2881</v>
      </c>
      <c r="BG78" s="10">
        <v>13694</v>
      </c>
      <c r="BH78" s="10">
        <v>-281</v>
      </c>
      <c r="BI78" s="10">
        <v>-280</v>
      </c>
      <c r="BJ78" s="10"/>
      <c r="BK78" s="10"/>
      <c r="BL78" s="10">
        <v>146287</v>
      </c>
      <c r="BM78" s="10">
        <v>630366</v>
      </c>
      <c r="BN78" s="10">
        <v>410393</v>
      </c>
      <c r="BO78" s="10">
        <v>553828</v>
      </c>
      <c r="BP78" s="10">
        <v>-655</v>
      </c>
      <c r="BQ78" s="10">
        <v>-371</v>
      </c>
      <c r="BR78" s="85">
        <f>SUM(B78+D78+F78+H78+J78+L78+N78+P78+R78+T78+V78+X78+Z78+AB78+AD78+AF78+AH78+AJ78+AL78+AN78+AP78+AR78+AT78+AV78+AX78+AZ78+BB78+BD78+BF78+BH78+BJ78+BL78+BN78+BP78)</f>
        <v>1816287.1918176727</v>
      </c>
      <c r="BS78" s="85">
        <f>SUM(C78+E78+G78+I78+K78+M78+O78+Q78+S78+U78+W78+Y78+AA78+AC78+AE78+AG78+AI78+AK78+AM78+AO78+AQ78+AS78+AU78+AW78+AY78+BA78+BC78+BE78+BG78+BI78+BK78+BM78+BO78+BQ78)</f>
        <v>3650032.5870000003</v>
      </c>
    </row>
    <row r="79" spans="1:71" x14ac:dyDescent="0.25">
      <c r="A79" s="34"/>
    </row>
    <row r="80" spans="1:71" x14ac:dyDescent="0.25">
      <c r="A80" s="35" t="s">
        <v>236</v>
      </c>
    </row>
    <row r="81" spans="1:71" x14ac:dyDescent="0.25">
      <c r="A81" s="3" t="s">
        <v>0</v>
      </c>
      <c r="B81" s="107" t="s">
        <v>1</v>
      </c>
      <c r="C81" s="108"/>
      <c r="D81" s="107" t="s">
        <v>2</v>
      </c>
      <c r="E81" s="108"/>
      <c r="F81" s="107" t="s">
        <v>3</v>
      </c>
      <c r="G81" s="108"/>
      <c r="H81" s="107" t="s">
        <v>307</v>
      </c>
      <c r="I81" s="108"/>
      <c r="J81" s="107" t="s">
        <v>5</v>
      </c>
      <c r="K81" s="108"/>
      <c r="L81" s="107" t="s">
        <v>6</v>
      </c>
      <c r="M81" s="108"/>
      <c r="N81" s="107" t="s">
        <v>7</v>
      </c>
      <c r="O81" s="108"/>
      <c r="P81" s="107" t="s">
        <v>8</v>
      </c>
      <c r="Q81" s="108"/>
      <c r="R81" s="107" t="s">
        <v>9</v>
      </c>
      <c r="S81" s="108"/>
      <c r="T81" s="107" t="s">
        <v>10</v>
      </c>
      <c r="U81" s="108"/>
      <c r="V81" s="107" t="s">
        <v>11</v>
      </c>
      <c r="W81" s="108"/>
      <c r="X81" s="107" t="s">
        <v>12</v>
      </c>
      <c r="Y81" s="108"/>
      <c r="Z81" s="107" t="s">
        <v>13</v>
      </c>
      <c r="AA81" s="108"/>
      <c r="AB81" s="107" t="s">
        <v>14</v>
      </c>
      <c r="AC81" s="108"/>
      <c r="AD81" s="107" t="s">
        <v>15</v>
      </c>
      <c r="AE81" s="108"/>
      <c r="AF81" s="107" t="s">
        <v>16</v>
      </c>
      <c r="AG81" s="108"/>
      <c r="AH81" s="107" t="s">
        <v>17</v>
      </c>
      <c r="AI81" s="108"/>
      <c r="AJ81" s="107" t="s">
        <v>18</v>
      </c>
      <c r="AK81" s="108"/>
      <c r="AL81" s="107" t="s">
        <v>296</v>
      </c>
      <c r="AM81" s="108"/>
      <c r="AN81" s="107" t="s">
        <v>19</v>
      </c>
      <c r="AO81" s="108"/>
      <c r="AP81" s="107" t="s">
        <v>20</v>
      </c>
      <c r="AQ81" s="108"/>
      <c r="AR81" s="107" t="s">
        <v>21</v>
      </c>
      <c r="AS81" s="108"/>
      <c r="AT81" s="107" t="s">
        <v>22</v>
      </c>
      <c r="AU81" s="108"/>
      <c r="AV81" s="107" t="s">
        <v>23</v>
      </c>
      <c r="AW81" s="108"/>
      <c r="AX81" s="107" t="s">
        <v>24</v>
      </c>
      <c r="AY81" s="108"/>
      <c r="AZ81" s="107" t="s">
        <v>25</v>
      </c>
      <c r="BA81" s="108"/>
      <c r="BB81" s="107" t="s">
        <v>26</v>
      </c>
      <c r="BC81" s="108"/>
      <c r="BD81" s="107" t="s">
        <v>27</v>
      </c>
      <c r="BE81" s="108"/>
      <c r="BF81" s="107" t="s">
        <v>28</v>
      </c>
      <c r="BG81" s="108"/>
      <c r="BH81" s="107" t="s">
        <v>29</v>
      </c>
      <c r="BI81" s="108"/>
      <c r="BJ81" s="107" t="s">
        <v>30</v>
      </c>
      <c r="BK81" s="108"/>
      <c r="BL81" s="107" t="s">
        <v>31</v>
      </c>
      <c r="BM81" s="108"/>
      <c r="BN81" s="111" t="s">
        <v>32</v>
      </c>
      <c r="BO81" s="112"/>
      <c r="BP81" s="107" t="s">
        <v>33</v>
      </c>
      <c r="BQ81" s="108"/>
      <c r="BR81" s="109" t="s">
        <v>34</v>
      </c>
      <c r="BS81" s="110"/>
    </row>
    <row r="82" spans="1:71" ht="30" x14ac:dyDescent="0.25">
      <c r="A82" s="3"/>
      <c r="B82" s="66" t="s">
        <v>294</v>
      </c>
      <c r="C82" s="67" t="s">
        <v>295</v>
      </c>
      <c r="D82" s="66" t="s">
        <v>294</v>
      </c>
      <c r="E82" s="67" t="s">
        <v>295</v>
      </c>
      <c r="F82" s="66" t="s">
        <v>294</v>
      </c>
      <c r="G82" s="67" t="s">
        <v>295</v>
      </c>
      <c r="H82" s="66" t="s">
        <v>294</v>
      </c>
      <c r="I82" s="67" t="s">
        <v>295</v>
      </c>
      <c r="J82" s="66" t="s">
        <v>294</v>
      </c>
      <c r="K82" s="67" t="s">
        <v>295</v>
      </c>
      <c r="L82" s="66" t="s">
        <v>294</v>
      </c>
      <c r="M82" s="67" t="s">
        <v>295</v>
      </c>
      <c r="N82" s="66" t="s">
        <v>294</v>
      </c>
      <c r="O82" s="67" t="s">
        <v>295</v>
      </c>
      <c r="P82" s="66" t="s">
        <v>294</v>
      </c>
      <c r="Q82" s="67" t="s">
        <v>295</v>
      </c>
      <c r="R82" s="66" t="s">
        <v>294</v>
      </c>
      <c r="S82" s="67" t="s">
        <v>295</v>
      </c>
      <c r="T82" s="66" t="s">
        <v>294</v>
      </c>
      <c r="U82" s="67" t="s">
        <v>295</v>
      </c>
      <c r="V82" s="66" t="s">
        <v>294</v>
      </c>
      <c r="W82" s="67" t="s">
        <v>295</v>
      </c>
      <c r="X82" s="66" t="s">
        <v>294</v>
      </c>
      <c r="Y82" s="67" t="s">
        <v>295</v>
      </c>
      <c r="Z82" s="66" t="s">
        <v>294</v>
      </c>
      <c r="AA82" s="67" t="s">
        <v>295</v>
      </c>
      <c r="AB82" s="66" t="s">
        <v>294</v>
      </c>
      <c r="AC82" s="67" t="s">
        <v>295</v>
      </c>
      <c r="AD82" s="66" t="s">
        <v>294</v>
      </c>
      <c r="AE82" s="67" t="s">
        <v>295</v>
      </c>
      <c r="AF82" s="66" t="s">
        <v>294</v>
      </c>
      <c r="AG82" s="67" t="s">
        <v>295</v>
      </c>
      <c r="AH82" s="66" t="s">
        <v>294</v>
      </c>
      <c r="AI82" s="67" t="s">
        <v>295</v>
      </c>
      <c r="AJ82" s="66" t="s">
        <v>294</v>
      </c>
      <c r="AK82" s="67" t="s">
        <v>295</v>
      </c>
      <c r="AL82" s="66" t="s">
        <v>294</v>
      </c>
      <c r="AM82" s="67" t="s">
        <v>295</v>
      </c>
      <c r="AN82" s="66" t="s">
        <v>294</v>
      </c>
      <c r="AO82" s="67" t="s">
        <v>295</v>
      </c>
      <c r="AP82" s="66" t="s">
        <v>294</v>
      </c>
      <c r="AQ82" s="67" t="s">
        <v>295</v>
      </c>
      <c r="AR82" s="66" t="s">
        <v>294</v>
      </c>
      <c r="AS82" s="67" t="s">
        <v>295</v>
      </c>
      <c r="AT82" s="66" t="s">
        <v>294</v>
      </c>
      <c r="AU82" s="67" t="s">
        <v>295</v>
      </c>
      <c r="AV82" s="66" t="s">
        <v>294</v>
      </c>
      <c r="AW82" s="67" t="s">
        <v>295</v>
      </c>
      <c r="AX82" s="66" t="s">
        <v>294</v>
      </c>
      <c r="AY82" s="67" t="s">
        <v>295</v>
      </c>
      <c r="AZ82" s="66" t="s">
        <v>294</v>
      </c>
      <c r="BA82" s="67" t="s">
        <v>295</v>
      </c>
      <c r="BB82" s="66" t="s">
        <v>294</v>
      </c>
      <c r="BC82" s="67" t="s">
        <v>295</v>
      </c>
      <c r="BD82" s="66" t="s">
        <v>294</v>
      </c>
      <c r="BE82" s="67" t="s">
        <v>295</v>
      </c>
      <c r="BF82" s="66" t="s">
        <v>294</v>
      </c>
      <c r="BG82" s="67" t="s">
        <v>295</v>
      </c>
      <c r="BH82" s="66" t="s">
        <v>294</v>
      </c>
      <c r="BI82" s="67" t="s">
        <v>295</v>
      </c>
      <c r="BJ82" s="66" t="s">
        <v>294</v>
      </c>
      <c r="BK82" s="67" t="s">
        <v>295</v>
      </c>
      <c r="BL82" s="66" t="s">
        <v>294</v>
      </c>
      <c r="BM82" s="67" t="s">
        <v>295</v>
      </c>
      <c r="BN82" s="66" t="s">
        <v>294</v>
      </c>
      <c r="BO82" s="67" t="s">
        <v>295</v>
      </c>
      <c r="BP82" s="66" t="s">
        <v>294</v>
      </c>
      <c r="BQ82" s="67" t="s">
        <v>295</v>
      </c>
      <c r="BR82" s="66" t="s">
        <v>294</v>
      </c>
      <c r="BS82" s="67" t="s">
        <v>295</v>
      </c>
    </row>
    <row r="83" spans="1:71" x14ac:dyDescent="0.25">
      <c r="A83" s="26" t="s">
        <v>241</v>
      </c>
      <c r="B83" s="10"/>
      <c r="C83" s="10"/>
      <c r="D83" s="10"/>
      <c r="E83" s="10"/>
      <c r="F83" s="10"/>
      <c r="G83" s="10"/>
      <c r="H83" s="10"/>
      <c r="I83" s="10"/>
      <c r="J83" s="10">
        <v>39057</v>
      </c>
      <c r="K83" s="10">
        <v>95244</v>
      </c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>
        <v>19183</v>
      </c>
      <c r="AA83" s="10">
        <v>130643</v>
      </c>
      <c r="AB83" s="10">
        <v>9317</v>
      </c>
      <c r="AC83" s="10">
        <v>81098</v>
      </c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>
        <v>3019.5</v>
      </c>
      <c r="AQ83" s="10">
        <v>219526.546</v>
      </c>
      <c r="AR83" s="10">
        <v>446756</v>
      </c>
      <c r="AS83" s="10">
        <v>801695</v>
      </c>
      <c r="AT83" s="10">
        <v>-29713</v>
      </c>
      <c r="AU83" s="10">
        <v>99973</v>
      </c>
      <c r="AV83" s="10"/>
      <c r="AW83" s="10"/>
      <c r="AX83" s="10"/>
      <c r="AY83" s="10">
        <v>4</v>
      </c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>
        <v>-117655</v>
      </c>
      <c r="BO83" s="10">
        <v>119076</v>
      </c>
      <c r="BP83" s="10"/>
      <c r="BQ83" s="10"/>
      <c r="BR83" s="85">
        <f>SUM(B83+D83+F83+H83+J83+L83+N83+P83+R83+T83+V83+X83+Z83+AB83+AD83+AF83+AH83+AJ83+AL83+AN83+AP83+AR83+AT83+AV83+AX83+AZ83+BB83+BD83+BF83+BH83+BJ83+BL83+BN83+BP83)</f>
        <v>369964.5</v>
      </c>
      <c r="BS83" s="85">
        <f>SUM(C83+E83+G83+I83+K83+M83+O83+Q83+S83+U83+W83+Y83+AA83+AC83+AE83+AG83+AI83+AK83+AM83+AO83+AQ83+AS83+AU83+AW83+AY83+BA83+BC83+BE83+BG83+BI83+BK83+BM83+BO83+BQ83)</f>
        <v>1547259.5460000001</v>
      </c>
    </row>
    <row r="84" spans="1:71" x14ac:dyDescent="0.25">
      <c r="A84" s="10" t="s">
        <v>292</v>
      </c>
      <c r="B84" s="10"/>
      <c r="C84" s="10"/>
      <c r="D84" s="10"/>
      <c r="E84" s="10"/>
      <c r="F84" s="10"/>
      <c r="G84" s="10"/>
      <c r="H84" s="10"/>
      <c r="I84" s="10"/>
      <c r="J84" s="10">
        <v>27953</v>
      </c>
      <c r="K84" s="10">
        <v>84537</v>
      </c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>
        <v>1736</v>
      </c>
      <c r="W84" s="10">
        <v>1736</v>
      </c>
      <c r="X84" s="10"/>
      <c r="Y84" s="10"/>
      <c r="Z84" s="10">
        <v>582858</v>
      </c>
      <c r="AA84" s="10">
        <v>582858</v>
      </c>
      <c r="AB84" s="10">
        <v>1375985</v>
      </c>
      <c r="AC84" s="10">
        <v>1375985</v>
      </c>
      <c r="AD84" s="10">
        <v>-428</v>
      </c>
      <c r="AE84" s="10">
        <v>1433</v>
      </c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>
        <v>81500.07589089754</v>
      </c>
      <c r="AQ84" s="10">
        <v>754996.125</v>
      </c>
      <c r="AR84" s="10">
        <v>2107476</v>
      </c>
      <c r="AS84" s="10">
        <v>2107476</v>
      </c>
      <c r="AT84" s="10">
        <v>-16080</v>
      </c>
      <c r="AU84" s="10">
        <v>1129525</v>
      </c>
      <c r="AV84" s="10"/>
      <c r="AW84" s="10"/>
      <c r="AX84" s="10">
        <v>10323</v>
      </c>
      <c r="AY84" s="10">
        <v>10323</v>
      </c>
      <c r="AZ84" s="10"/>
      <c r="BA84" s="10"/>
      <c r="BB84" s="10"/>
      <c r="BC84" s="10"/>
      <c r="BD84" s="10"/>
      <c r="BE84" s="10"/>
      <c r="BF84" s="10">
        <v>152</v>
      </c>
      <c r="BG84" s="10">
        <v>152</v>
      </c>
      <c r="BH84" s="10"/>
      <c r="BI84" s="10"/>
      <c r="BJ84" s="10"/>
      <c r="BK84" s="10"/>
      <c r="BL84" s="10">
        <v>-142</v>
      </c>
      <c r="BM84" s="10">
        <v>1832</v>
      </c>
      <c r="BN84" s="10">
        <v>243513</v>
      </c>
      <c r="BO84" s="10">
        <v>243513</v>
      </c>
      <c r="BP84" s="10"/>
      <c r="BQ84" s="10"/>
      <c r="BR84" s="85">
        <f t="shared" ref="BR84:BR88" si="14">SUM(B84+D84+F84+H84+J84+L84+N84+P84+R84+T84+V84+X84+Z84+AB84+AD84+AF84+AH84+AJ84+AL84+AN84+AP84+AR84+AT84+AV84+AX84+AZ84+BB84+BD84+BF84+BH84+BJ84+BL84+BN84+BP84)</f>
        <v>4414846.0758908978</v>
      </c>
      <c r="BS84" s="85">
        <f t="shared" ref="BS84:BS88" si="15">SUM(C84+E84+G84+I84+K84+M84+O84+Q84+S84+U84+W84+Y84+AA84+AC84+AE84+AG84+AI84+AK84+AM84+AO84+AQ84+AS84+AU84+AW84+AY84+BA84+BC84+BE84+BG84+BI84+BK84+BM84+BO84+BQ84)</f>
        <v>6294366.125</v>
      </c>
    </row>
    <row r="85" spans="1:71" x14ac:dyDescent="0.25">
      <c r="A85" s="10" t="s">
        <v>291</v>
      </c>
      <c r="B85" s="10"/>
      <c r="C85" s="10"/>
      <c r="D85" s="10"/>
      <c r="E85" s="10"/>
      <c r="F85" s="10"/>
      <c r="G85" s="10"/>
      <c r="H85" s="10"/>
      <c r="I85" s="10"/>
      <c r="J85" s="10"/>
      <c r="K85" s="10">
        <v>29543</v>
      </c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>
        <v>1736</v>
      </c>
      <c r="W85" s="10">
        <v>1736</v>
      </c>
      <c r="X85" s="10"/>
      <c r="Y85" s="10"/>
      <c r="Z85" s="10">
        <v>-585230</v>
      </c>
      <c r="AA85" s="10">
        <v>-733900</v>
      </c>
      <c r="AB85" s="10">
        <v>1381034</v>
      </c>
      <c r="AC85" s="10">
        <v>1370114</v>
      </c>
      <c r="AD85" s="10"/>
      <c r="AE85" s="10">
        <v>1958</v>
      </c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>
        <v>0</v>
      </c>
      <c r="AQ85" s="10">
        <v>535116.88400000008</v>
      </c>
      <c r="AR85" s="10">
        <v>2387400</v>
      </c>
      <c r="AS85" s="10">
        <v>2387400</v>
      </c>
      <c r="AT85" s="10">
        <v>0</v>
      </c>
      <c r="AU85" s="10">
        <v>1263245</v>
      </c>
      <c r="AV85" s="10"/>
      <c r="AW85" s="10"/>
      <c r="AX85" s="10">
        <v>4271</v>
      </c>
      <c r="AY85" s="10">
        <v>4326</v>
      </c>
      <c r="AZ85" s="10"/>
      <c r="BA85" s="10"/>
      <c r="BB85" s="10"/>
      <c r="BC85" s="10"/>
      <c r="BD85" s="10"/>
      <c r="BE85" s="10"/>
      <c r="BF85" s="10">
        <v>155</v>
      </c>
      <c r="BG85" s="10">
        <v>154</v>
      </c>
      <c r="BH85" s="10"/>
      <c r="BI85" s="10"/>
      <c r="BJ85" s="10"/>
      <c r="BK85" s="10"/>
      <c r="BL85" s="10"/>
      <c r="BM85" s="10">
        <v>2918</v>
      </c>
      <c r="BN85" s="10">
        <v>209735</v>
      </c>
      <c r="BO85" s="10">
        <v>255887</v>
      </c>
      <c r="BP85" s="10"/>
      <c r="BQ85" s="10"/>
      <c r="BR85" s="85">
        <f t="shared" si="14"/>
        <v>3399101</v>
      </c>
      <c r="BS85" s="85">
        <f t="shared" si="15"/>
        <v>5118497.8839999996</v>
      </c>
    </row>
    <row r="86" spans="1:71" x14ac:dyDescent="0.25">
      <c r="A86" s="26" t="s">
        <v>306</v>
      </c>
      <c r="B86" s="10"/>
      <c r="C86" s="10"/>
      <c r="D86" s="10"/>
      <c r="E86" s="10"/>
      <c r="F86" s="10"/>
      <c r="G86" s="10"/>
      <c r="H86" s="10"/>
      <c r="I86" s="10"/>
      <c r="J86" s="10">
        <v>67010</v>
      </c>
      <c r="K86" s="10">
        <v>150238</v>
      </c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>
        <v>16812</v>
      </c>
      <c r="AA86" s="10">
        <v>-20399</v>
      </c>
      <c r="AB86" s="10">
        <v>4268</v>
      </c>
      <c r="AC86" s="10">
        <v>86969</v>
      </c>
      <c r="AD86" s="10">
        <v>-428</v>
      </c>
      <c r="AE86" s="10">
        <v>-525</v>
      </c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>
        <v>166832</v>
      </c>
      <c r="AS86" s="10">
        <v>521771</v>
      </c>
      <c r="AT86" s="10">
        <v>-45793</v>
      </c>
      <c r="AU86" s="10">
        <v>-33747</v>
      </c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>
        <v>-142</v>
      </c>
      <c r="BM86" s="10">
        <v>-1086</v>
      </c>
      <c r="BN86" s="10">
        <v>-83877</v>
      </c>
      <c r="BO86" s="10">
        <v>106702</v>
      </c>
      <c r="BP86" s="10"/>
      <c r="BQ86" s="10"/>
      <c r="BR86" s="85">
        <f t="shared" si="14"/>
        <v>124682</v>
      </c>
      <c r="BS86" s="85">
        <f t="shared" si="15"/>
        <v>809923</v>
      </c>
    </row>
    <row r="87" spans="1:71" x14ac:dyDescent="0.25">
      <c r="A87" s="26" t="s">
        <v>289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>
        <v>10118</v>
      </c>
      <c r="AA87" s="10">
        <v>32341</v>
      </c>
      <c r="AB87" s="10">
        <v>49833</v>
      </c>
      <c r="AC87" s="10">
        <v>97048</v>
      </c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>
        <v>-1418.2520000000004</v>
      </c>
      <c r="AQ87" s="10">
        <v>34848.46</v>
      </c>
      <c r="AR87" s="10">
        <v>489780</v>
      </c>
      <c r="AS87" s="10">
        <v>1170562</v>
      </c>
      <c r="AT87" s="10">
        <v>531557</v>
      </c>
      <c r="AU87" s="10">
        <v>1234306</v>
      </c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>
        <v>6591</v>
      </c>
      <c r="BO87" s="10">
        <v>299900</v>
      </c>
      <c r="BP87" s="10"/>
      <c r="BQ87" s="10"/>
      <c r="BR87" s="85">
        <f t="shared" si="14"/>
        <v>1086460.7480000001</v>
      </c>
      <c r="BS87" s="85">
        <f t="shared" si="15"/>
        <v>2869005.46</v>
      </c>
    </row>
    <row r="88" spans="1:71" x14ac:dyDescent="0.25">
      <c r="A88" s="26" t="s">
        <v>290</v>
      </c>
      <c r="B88" s="10"/>
      <c r="C88" s="10"/>
      <c r="D88" s="10"/>
      <c r="E88" s="10"/>
      <c r="F88" s="10"/>
      <c r="G88" s="10"/>
      <c r="H88" s="10"/>
      <c r="I88" s="10"/>
      <c r="J88" s="10">
        <v>20118</v>
      </c>
      <c r="K88" s="10">
        <v>53627</v>
      </c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>
        <v>-19173</v>
      </c>
      <c r="AA88" s="10">
        <v>-127676</v>
      </c>
      <c r="AB88" s="10">
        <v>53884</v>
      </c>
      <c r="AC88" s="10">
        <v>96521</v>
      </c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>
        <v>5505.4220000000205</v>
      </c>
      <c r="AQ88" s="10">
        <v>197934.08900000001</v>
      </c>
      <c r="AR88" s="10">
        <v>404421</v>
      </c>
      <c r="AS88" s="10">
        <v>606897</v>
      </c>
      <c r="AT88" s="10">
        <v>-16676</v>
      </c>
      <c r="AU88" s="10">
        <v>450674</v>
      </c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>
        <v>-117260</v>
      </c>
      <c r="BO88" s="10">
        <v>111301</v>
      </c>
      <c r="BP88" s="10"/>
      <c r="BQ88" s="10"/>
      <c r="BR88" s="85">
        <f t="shared" si="14"/>
        <v>330819.42200000002</v>
      </c>
      <c r="BS88" s="85">
        <f t="shared" si="15"/>
        <v>1389278.0890000002</v>
      </c>
    </row>
    <row r="89" spans="1:71" x14ac:dyDescent="0.25">
      <c r="A89" s="26" t="s">
        <v>286</v>
      </c>
      <c r="B89" s="10"/>
      <c r="C89" s="10"/>
      <c r="D89" s="10"/>
      <c r="E89" s="10"/>
      <c r="F89" s="10"/>
      <c r="G89" s="10"/>
      <c r="H89" s="10"/>
      <c r="I89" s="10"/>
      <c r="J89" s="10">
        <v>46892</v>
      </c>
      <c r="K89" s="10">
        <v>96611</v>
      </c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>
        <v>6436</v>
      </c>
      <c r="AA89" s="10">
        <v>-32570</v>
      </c>
      <c r="AB89" s="10">
        <v>102830</v>
      </c>
      <c r="AC89" s="10">
        <v>114228</v>
      </c>
      <c r="AD89" s="10">
        <v>-428</v>
      </c>
      <c r="AE89" s="10">
        <v>-525</v>
      </c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>
        <v>77595.901890897512</v>
      </c>
      <c r="AQ89" s="10">
        <v>276320.15799999994</v>
      </c>
      <c r="AR89" s="10">
        <v>325379</v>
      </c>
      <c r="AS89" s="10">
        <v>1158624</v>
      </c>
      <c r="AT89" s="10">
        <v>502440</v>
      </c>
      <c r="AU89" s="10">
        <v>749885</v>
      </c>
      <c r="AV89" s="10"/>
      <c r="AW89" s="10"/>
      <c r="AX89" s="10">
        <v>6052</v>
      </c>
      <c r="AY89" s="10">
        <v>6001</v>
      </c>
      <c r="AZ89" s="10"/>
      <c r="BA89" s="10"/>
      <c r="BB89" s="10"/>
      <c r="BC89" s="10"/>
      <c r="BD89" s="10"/>
      <c r="BE89" s="10"/>
      <c r="BF89" s="10">
        <v>-3</v>
      </c>
      <c r="BG89" s="10">
        <v>-2</v>
      </c>
      <c r="BH89" s="10"/>
      <c r="BI89" s="10"/>
      <c r="BJ89" s="10"/>
      <c r="BK89" s="10"/>
      <c r="BL89" s="10">
        <v>-142</v>
      </c>
      <c r="BM89" s="10">
        <v>-1086</v>
      </c>
      <c r="BN89" s="10">
        <v>39974</v>
      </c>
      <c r="BO89" s="10">
        <v>295301</v>
      </c>
      <c r="BP89" s="10"/>
      <c r="BQ89" s="10"/>
      <c r="BR89" s="85">
        <f>SUM(B89+D89+F89+H89+J89+L89+N89+P89+R89+T89+V89+X89+Z89+AB89+AD89+AF89+AH89+AJ89+AL89+AN89+AP89+AR89+AT89+AV89+AX89+AZ89+BB89+BD89+BF89+BH89+BJ89+BL89+BN89+BP89)</f>
        <v>1107025.9018908977</v>
      </c>
      <c r="BS89" s="85">
        <f>SUM(C89+E89+G89+I89+K89+M89+O89+Q89+S89+U89+W89+Y89+AA89+AC89+AE89+AG89+AI89+AK89+AM89+AO89+AQ89+AS89+AU89+AW89+AY89+BA89+BC89+BE89+BG89+BI89+BK89+BM89+BO89+BQ89)</f>
        <v>2662787.1579999998</v>
      </c>
    </row>
    <row r="90" spans="1:71" x14ac:dyDescent="0.25">
      <c r="A90" s="18"/>
    </row>
    <row r="91" spans="1:71" x14ac:dyDescent="0.25">
      <c r="A91" s="33" t="s">
        <v>308</v>
      </c>
    </row>
    <row r="92" spans="1:71" x14ac:dyDescent="0.25">
      <c r="A92" s="3" t="s">
        <v>0</v>
      </c>
      <c r="B92" s="107" t="s">
        <v>1</v>
      </c>
      <c r="C92" s="108"/>
      <c r="D92" s="107" t="s">
        <v>2</v>
      </c>
      <c r="E92" s="108"/>
      <c r="F92" s="107" t="s">
        <v>3</v>
      </c>
      <c r="G92" s="108"/>
      <c r="H92" s="107" t="s">
        <v>307</v>
      </c>
      <c r="I92" s="108"/>
      <c r="J92" s="107" t="s">
        <v>5</v>
      </c>
      <c r="K92" s="108"/>
      <c r="L92" s="107" t="s">
        <v>6</v>
      </c>
      <c r="M92" s="108"/>
      <c r="N92" s="107" t="s">
        <v>7</v>
      </c>
      <c r="O92" s="108"/>
      <c r="P92" s="107" t="s">
        <v>8</v>
      </c>
      <c r="Q92" s="108"/>
      <c r="R92" s="107" t="s">
        <v>9</v>
      </c>
      <c r="S92" s="108"/>
      <c r="T92" s="107" t="s">
        <v>10</v>
      </c>
      <c r="U92" s="108"/>
      <c r="V92" s="107" t="s">
        <v>11</v>
      </c>
      <c r="W92" s="108"/>
      <c r="X92" s="107" t="s">
        <v>12</v>
      </c>
      <c r="Y92" s="108"/>
      <c r="Z92" s="107" t="s">
        <v>13</v>
      </c>
      <c r="AA92" s="108"/>
      <c r="AB92" s="107" t="s">
        <v>14</v>
      </c>
      <c r="AC92" s="108"/>
      <c r="AD92" s="107" t="s">
        <v>15</v>
      </c>
      <c r="AE92" s="108"/>
      <c r="AF92" s="107" t="s">
        <v>16</v>
      </c>
      <c r="AG92" s="108"/>
      <c r="AH92" s="107" t="s">
        <v>17</v>
      </c>
      <c r="AI92" s="108"/>
      <c r="AJ92" s="107" t="s">
        <v>18</v>
      </c>
      <c r="AK92" s="108"/>
      <c r="AL92" s="107" t="s">
        <v>296</v>
      </c>
      <c r="AM92" s="108"/>
      <c r="AN92" s="107" t="s">
        <v>19</v>
      </c>
      <c r="AO92" s="108"/>
      <c r="AP92" s="107" t="s">
        <v>20</v>
      </c>
      <c r="AQ92" s="108"/>
      <c r="AR92" s="107" t="s">
        <v>21</v>
      </c>
      <c r="AS92" s="108"/>
      <c r="AT92" s="107" t="s">
        <v>22</v>
      </c>
      <c r="AU92" s="108"/>
      <c r="AV92" s="107" t="s">
        <v>23</v>
      </c>
      <c r="AW92" s="108"/>
      <c r="AX92" s="107" t="s">
        <v>24</v>
      </c>
      <c r="AY92" s="108"/>
      <c r="AZ92" s="107" t="s">
        <v>25</v>
      </c>
      <c r="BA92" s="108"/>
      <c r="BB92" s="107" t="s">
        <v>26</v>
      </c>
      <c r="BC92" s="108"/>
      <c r="BD92" s="107" t="s">
        <v>27</v>
      </c>
      <c r="BE92" s="108"/>
      <c r="BF92" s="107" t="s">
        <v>28</v>
      </c>
      <c r="BG92" s="108"/>
      <c r="BH92" s="107" t="s">
        <v>29</v>
      </c>
      <c r="BI92" s="108"/>
      <c r="BJ92" s="107" t="s">
        <v>30</v>
      </c>
      <c r="BK92" s="108"/>
      <c r="BL92" s="107" t="s">
        <v>31</v>
      </c>
      <c r="BM92" s="108"/>
      <c r="BN92" s="111" t="s">
        <v>32</v>
      </c>
      <c r="BO92" s="112"/>
      <c r="BP92" s="107" t="s">
        <v>33</v>
      </c>
      <c r="BQ92" s="108"/>
      <c r="BR92" s="109" t="s">
        <v>34</v>
      </c>
      <c r="BS92" s="110"/>
    </row>
    <row r="93" spans="1:71" ht="30" x14ac:dyDescent="0.25">
      <c r="A93" s="3"/>
      <c r="B93" s="66" t="s">
        <v>294</v>
      </c>
      <c r="C93" s="67" t="s">
        <v>295</v>
      </c>
      <c r="D93" s="66" t="s">
        <v>294</v>
      </c>
      <c r="E93" s="67" t="s">
        <v>295</v>
      </c>
      <c r="F93" s="66" t="s">
        <v>294</v>
      </c>
      <c r="G93" s="67" t="s">
        <v>295</v>
      </c>
      <c r="H93" s="66" t="s">
        <v>294</v>
      </c>
      <c r="I93" s="67" t="s">
        <v>295</v>
      </c>
      <c r="J93" s="66" t="s">
        <v>294</v>
      </c>
      <c r="K93" s="67" t="s">
        <v>295</v>
      </c>
      <c r="L93" s="66" t="s">
        <v>294</v>
      </c>
      <c r="M93" s="67" t="s">
        <v>295</v>
      </c>
      <c r="N93" s="66" t="s">
        <v>294</v>
      </c>
      <c r="O93" s="67" t="s">
        <v>295</v>
      </c>
      <c r="P93" s="66" t="s">
        <v>294</v>
      </c>
      <c r="Q93" s="67" t="s">
        <v>295</v>
      </c>
      <c r="R93" s="66" t="s">
        <v>294</v>
      </c>
      <c r="S93" s="67" t="s">
        <v>295</v>
      </c>
      <c r="T93" s="66" t="s">
        <v>294</v>
      </c>
      <c r="U93" s="67" t="s">
        <v>295</v>
      </c>
      <c r="V93" s="66" t="s">
        <v>294</v>
      </c>
      <c r="W93" s="67" t="s">
        <v>295</v>
      </c>
      <c r="X93" s="66" t="s">
        <v>294</v>
      </c>
      <c r="Y93" s="67" t="s">
        <v>295</v>
      </c>
      <c r="Z93" s="66" t="s">
        <v>294</v>
      </c>
      <c r="AA93" s="67" t="s">
        <v>295</v>
      </c>
      <c r="AB93" s="66" t="s">
        <v>294</v>
      </c>
      <c r="AC93" s="67" t="s">
        <v>295</v>
      </c>
      <c r="AD93" s="66" t="s">
        <v>294</v>
      </c>
      <c r="AE93" s="67" t="s">
        <v>295</v>
      </c>
      <c r="AF93" s="66" t="s">
        <v>294</v>
      </c>
      <c r="AG93" s="67" t="s">
        <v>295</v>
      </c>
      <c r="AH93" s="66" t="s">
        <v>294</v>
      </c>
      <c r="AI93" s="67" t="s">
        <v>295</v>
      </c>
      <c r="AJ93" s="66" t="s">
        <v>294</v>
      </c>
      <c r="AK93" s="67" t="s">
        <v>295</v>
      </c>
      <c r="AL93" s="66" t="s">
        <v>294</v>
      </c>
      <c r="AM93" s="67" t="s">
        <v>295</v>
      </c>
      <c r="AN93" s="66" t="s">
        <v>294</v>
      </c>
      <c r="AO93" s="67" t="s">
        <v>295</v>
      </c>
      <c r="AP93" s="66" t="s">
        <v>294</v>
      </c>
      <c r="AQ93" s="67" t="s">
        <v>295</v>
      </c>
      <c r="AR93" s="66" t="s">
        <v>294</v>
      </c>
      <c r="AS93" s="67" t="s">
        <v>295</v>
      </c>
      <c r="AT93" s="66" t="s">
        <v>294</v>
      </c>
      <c r="AU93" s="67" t="s">
        <v>295</v>
      </c>
      <c r="AV93" s="66" t="s">
        <v>294</v>
      </c>
      <c r="AW93" s="67" t="s">
        <v>295</v>
      </c>
      <c r="AX93" s="66" t="s">
        <v>294</v>
      </c>
      <c r="AY93" s="67" t="s">
        <v>295</v>
      </c>
      <c r="AZ93" s="66" t="s">
        <v>294</v>
      </c>
      <c r="BA93" s="67" t="s">
        <v>295</v>
      </c>
      <c r="BB93" s="66" t="s">
        <v>294</v>
      </c>
      <c r="BC93" s="67" t="s">
        <v>295</v>
      </c>
      <c r="BD93" s="66" t="s">
        <v>294</v>
      </c>
      <c r="BE93" s="67" t="s">
        <v>295</v>
      </c>
      <c r="BF93" s="66" t="s">
        <v>294</v>
      </c>
      <c r="BG93" s="67" t="s">
        <v>295</v>
      </c>
      <c r="BH93" s="66" t="s">
        <v>294</v>
      </c>
      <c r="BI93" s="67" t="s">
        <v>295</v>
      </c>
      <c r="BJ93" s="66" t="s">
        <v>294</v>
      </c>
      <c r="BK93" s="67" t="s">
        <v>295</v>
      </c>
      <c r="BL93" s="66" t="s">
        <v>294</v>
      </c>
      <c r="BM93" s="67" t="s">
        <v>295</v>
      </c>
      <c r="BN93" s="66" t="s">
        <v>294</v>
      </c>
      <c r="BO93" s="67" t="s">
        <v>295</v>
      </c>
      <c r="BP93" s="66" t="s">
        <v>294</v>
      </c>
      <c r="BQ93" s="67" t="s">
        <v>295</v>
      </c>
      <c r="BR93" s="66" t="s">
        <v>294</v>
      </c>
      <c r="BS93" s="67" t="s">
        <v>295</v>
      </c>
    </row>
    <row r="94" spans="1:71" x14ac:dyDescent="0.25">
      <c r="A94" s="26" t="s">
        <v>241</v>
      </c>
      <c r="B94" s="10"/>
      <c r="C94" s="10"/>
      <c r="D94" s="10"/>
      <c r="E94" s="10"/>
      <c r="F94" s="10"/>
      <c r="G94" s="10"/>
      <c r="H94" s="10"/>
      <c r="I94" s="10"/>
      <c r="J94" s="10">
        <v>5087703</v>
      </c>
      <c r="K94" s="10">
        <v>12777525</v>
      </c>
      <c r="L94" s="10">
        <v>471059</v>
      </c>
      <c r="M94" s="10">
        <v>1914924</v>
      </c>
      <c r="N94" s="10">
        <v>1973742</v>
      </c>
      <c r="O94" s="10">
        <v>5404734</v>
      </c>
      <c r="P94" s="10"/>
      <c r="Q94" s="10"/>
      <c r="R94" s="10"/>
      <c r="S94" s="10"/>
      <c r="T94" s="10"/>
      <c r="U94" s="10"/>
      <c r="V94" s="10">
        <v>1089255</v>
      </c>
      <c r="W94" s="10">
        <v>1865930</v>
      </c>
      <c r="X94" s="10"/>
      <c r="Y94" s="10"/>
      <c r="Z94" s="10">
        <v>823720</v>
      </c>
      <c r="AA94" s="10">
        <v>5152591</v>
      </c>
      <c r="AB94" s="10">
        <v>2496098</v>
      </c>
      <c r="AC94" s="10">
        <v>5710252</v>
      </c>
      <c r="AD94" s="10">
        <v>1100677</v>
      </c>
      <c r="AE94" s="10">
        <v>8096720</v>
      </c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>
        <v>787977.34100000001</v>
      </c>
      <c r="AQ94" s="10">
        <v>1999870.483</v>
      </c>
      <c r="AR94" s="10">
        <v>4791193</v>
      </c>
      <c r="AS94" s="10">
        <v>15132576</v>
      </c>
      <c r="AT94" s="10"/>
      <c r="AU94" s="10"/>
      <c r="AV94" s="10"/>
      <c r="AW94" s="10"/>
      <c r="AX94" s="10">
        <v>877049</v>
      </c>
      <c r="AY94" s="10">
        <v>4963793</v>
      </c>
      <c r="AZ94" s="10"/>
      <c r="BA94" s="10"/>
      <c r="BB94" s="10"/>
      <c r="BC94" s="10"/>
      <c r="BD94" s="10">
        <v>40949</v>
      </c>
      <c r="BE94" s="10">
        <v>2521002</v>
      </c>
      <c r="BF94" s="10">
        <v>5564277</v>
      </c>
      <c r="BG94" s="10">
        <v>10608857</v>
      </c>
      <c r="BH94" s="10"/>
      <c r="BI94" s="10"/>
      <c r="BJ94" s="10"/>
      <c r="BK94" s="10"/>
      <c r="BL94" s="10"/>
      <c r="BM94" s="10"/>
      <c r="BN94" s="10"/>
      <c r="BO94" s="10"/>
      <c r="BP94" s="10">
        <v>1662914</v>
      </c>
      <c r="BQ94" s="10">
        <v>4767896</v>
      </c>
      <c r="BR94" s="85">
        <f>SUM(B94+D94+F94+H94+J94+L94+N94+P94+R94+T94+V94+X94+Z94+AB94+AD94+AF94+AH94+AJ94+AL94+AN94+AP94+AR94+AT94+AV94+AX94+AZ94+BB94+BD94+BF94+BH94+BJ94+BL94+BN94+BP94)</f>
        <v>26766613.340999998</v>
      </c>
      <c r="BS94" s="85">
        <f>SUM(C94+E94+G94+I94+K94+M94+O94+Q94+S94+U94+W94+Y94+AA94+AC94+AE94+AG94+AI94+AK94+AM94+AO94+AQ94+AS94+AU94+AW94+AY94+BA94+BC94+BE94+BG94+BI94+BK94+BM94+BO94+BQ94)</f>
        <v>80916670.48300001</v>
      </c>
    </row>
    <row r="95" spans="1:71" x14ac:dyDescent="0.25">
      <c r="A95" s="10" t="s">
        <v>292</v>
      </c>
      <c r="B95" s="10"/>
      <c r="C95" s="10"/>
      <c r="D95" s="10"/>
      <c r="E95" s="10"/>
      <c r="F95" s="10"/>
      <c r="G95" s="10"/>
      <c r="H95" s="10"/>
      <c r="I95" s="10"/>
      <c r="J95" s="10">
        <v>599545</v>
      </c>
      <c r="K95" s="10">
        <v>5241440</v>
      </c>
      <c r="L95" s="10">
        <v>238515</v>
      </c>
      <c r="M95" s="10">
        <v>845421</v>
      </c>
      <c r="N95" s="10">
        <v>93744</v>
      </c>
      <c r="O95" s="10">
        <v>93744</v>
      </c>
      <c r="P95" s="10"/>
      <c r="Q95" s="10"/>
      <c r="R95" s="10"/>
      <c r="S95" s="10"/>
      <c r="T95" s="10"/>
      <c r="U95" s="10"/>
      <c r="V95" s="10">
        <v>1464793</v>
      </c>
      <c r="W95" s="10">
        <v>1464793</v>
      </c>
      <c r="X95" s="10">
        <v>10296</v>
      </c>
      <c r="Y95" s="10">
        <v>608384</v>
      </c>
      <c r="Z95" s="10">
        <v>20196302</v>
      </c>
      <c r="AA95" s="10">
        <v>20196302</v>
      </c>
      <c r="AB95" s="10">
        <v>26566425</v>
      </c>
      <c r="AC95" s="10">
        <v>26566425</v>
      </c>
      <c r="AD95" s="10">
        <v>2004019</v>
      </c>
      <c r="AE95" s="10">
        <v>3319793</v>
      </c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>
        <v>1038038.7545646541</v>
      </c>
      <c r="AQ95" s="10">
        <v>5579214.3090000004</v>
      </c>
      <c r="AR95" s="10">
        <v>29605885</v>
      </c>
      <c r="AS95" s="10">
        <v>29605885</v>
      </c>
      <c r="AT95" s="10"/>
      <c r="AU95" s="10"/>
      <c r="AV95" s="10"/>
      <c r="AW95" s="10"/>
      <c r="AX95" s="10">
        <v>2378313</v>
      </c>
      <c r="AY95" s="10">
        <v>2378313</v>
      </c>
      <c r="AZ95" s="10"/>
      <c r="BA95" s="10"/>
      <c r="BB95" s="10"/>
      <c r="BC95" s="10"/>
      <c r="BD95" s="10">
        <v>3430765</v>
      </c>
      <c r="BE95" s="10">
        <v>4805143</v>
      </c>
      <c r="BF95" s="10">
        <v>5926684</v>
      </c>
      <c r="BG95" s="10">
        <v>5926684</v>
      </c>
      <c r="BH95" s="10"/>
      <c r="BI95" s="10"/>
      <c r="BJ95" s="10"/>
      <c r="BK95" s="10"/>
      <c r="BL95" s="10"/>
      <c r="BM95" s="10"/>
      <c r="BN95" s="10"/>
      <c r="BO95" s="10"/>
      <c r="BP95" s="10">
        <v>1145156</v>
      </c>
      <c r="BQ95" s="10">
        <v>1841494</v>
      </c>
      <c r="BR95" s="85">
        <f t="shared" ref="BR95:BR99" si="16">SUM(B95+D95+F95+H95+J95+L95+N95+P95+R95+T95+V95+X95+Z95+AB95+AD95+AF95+AH95+AJ95+AL95+AN95+AP95+AR95+AT95+AV95+AX95+AZ95+BB95+BD95+BF95+BH95+BJ95+BL95+BN95+BP95)</f>
        <v>94698480.754564658</v>
      </c>
      <c r="BS95" s="85">
        <f t="shared" ref="BS95:BS99" si="17">SUM(C95+E95+G95+I95+K95+M95+O95+Q95+S95+U95+W95+Y95+AA95+AC95+AE95+AG95+AI95+AK95+AM95+AO95+AQ95+AS95+AU95+AW95+AY95+BA95+BC95+BE95+BG95+BI95+BK95+BM95+BO95+BQ95)</f>
        <v>108473035.309</v>
      </c>
    </row>
    <row r="96" spans="1:71" x14ac:dyDescent="0.25">
      <c r="A96" s="10" t="s">
        <v>291</v>
      </c>
      <c r="B96" s="10"/>
      <c r="C96" s="10"/>
      <c r="D96" s="10"/>
      <c r="E96" s="10"/>
      <c r="F96" s="10"/>
      <c r="G96" s="10"/>
      <c r="H96" s="10"/>
      <c r="I96" s="10"/>
      <c r="J96" s="10"/>
      <c r="K96" s="10">
        <v>3430695</v>
      </c>
      <c r="L96" s="10"/>
      <c r="M96" s="10">
        <v>662025</v>
      </c>
      <c r="N96" s="10">
        <v>381319</v>
      </c>
      <c r="O96" s="10">
        <v>811132</v>
      </c>
      <c r="P96" s="10"/>
      <c r="Q96" s="10"/>
      <c r="R96" s="10"/>
      <c r="S96" s="10"/>
      <c r="T96" s="10"/>
      <c r="U96" s="10"/>
      <c r="V96" s="10">
        <v>930683</v>
      </c>
      <c r="W96" s="10">
        <v>536685</v>
      </c>
      <c r="X96" s="10"/>
      <c r="Y96" s="10">
        <v>1119199</v>
      </c>
      <c r="Z96" s="10">
        <v>-17408291</v>
      </c>
      <c r="AA96" s="10">
        <v>-12818385</v>
      </c>
      <c r="AB96" s="10">
        <v>27947741</v>
      </c>
      <c r="AC96" s="10">
        <v>30522632</v>
      </c>
      <c r="AD96" s="10"/>
      <c r="AE96" s="10">
        <v>1844523</v>
      </c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>
        <v>0</v>
      </c>
      <c r="AQ96" s="10">
        <v>4112275.7600000007</v>
      </c>
      <c r="AR96" s="10">
        <v>17471733</v>
      </c>
      <c r="AS96" s="10">
        <v>17471733</v>
      </c>
      <c r="AT96" s="10"/>
      <c r="AU96" s="10"/>
      <c r="AV96" s="10"/>
      <c r="AW96" s="10"/>
      <c r="AX96" s="10">
        <v>2032468</v>
      </c>
      <c r="AY96" s="10">
        <v>1690965</v>
      </c>
      <c r="AZ96" s="10"/>
      <c r="BA96" s="10"/>
      <c r="BB96" s="10"/>
      <c r="BC96" s="10"/>
      <c r="BD96" s="10"/>
      <c r="BE96" s="10">
        <v>-2635345</v>
      </c>
      <c r="BF96" s="10">
        <v>4137332</v>
      </c>
      <c r="BG96" s="10">
        <v>2774511</v>
      </c>
      <c r="BH96" s="10"/>
      <c r="BI96" s="10"/>
      <c r="BJ96" s="10"/>
      <c r="BK96" s="10"/>
      <c r="BL96" s="10"/>
      <c r="BM96" s="10"/>
      <c r="BN96" s="10"/>
      <c r="BO96" s="10"/>
      <c r="BP96" s="10"/>
      <c r="BQ96" s="10">
        <v>1210328</v>
      </c>
      <c r="BR96" s="85">
        <f t="shared" si="16"/>
        <v>35492985</v>
      </c>
      <c r="BS96" s="85">
        <f t="shared" si="17"/>
        <v>50732973.760000005</v>
      </c>
    </row>
    <row r="97" spans="1:71" x14ac:dyDescent="0.25">
      <c r="A97" s="26" t="s">
        <v>306</v>
      </c>
      <c r="B97" s="10"/>
      <c r="C97" s="10"/>
      <c r="D97" s="10"/>
      <c r="E97" s="10"/>
      <c r="F97" s="10"/>
      <c r="G97" s="10"/>
      <c r="H97" s="10"/>
      <c r="I97" s="10"/>
      <c r="J97" s="10">
        <v>5687248</v>
      </c>
      <c r="K97" s="10">
        <v>14588270</v>
      </c>
      <c r="L97" s="10"/>
      <c r="M97" s="10"/>
      <c r="N97" s="10">
        <v>1686167</v>
      </c>
      <c r="O97" s="10">
        <v>4687346</v>
      </c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>
        <v>3611730</v>
      </c>
      <c r="AA97" s="10">
        <v>12530508</v>
      </c>
      <c r="AB97" s="10">
        <v>1114782</v>
      </c>
      <c r="AC97" s="10">
        <v>1754045</v>
      </c>
      <c r="AD97" s="10">
        <v>3104696</v>
      </c>
      <c r="AE97" s="10">
        <v>9571990</v>
      </c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>
        <v>16925344</v>
      </c>
      <c r="AS97" s="10">
        <v>27266727</v>
      </c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>
        <v>3471714</v>
      </c>
      <c r="BE97" s="10">
        <v>4690800</v>
      </c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>
        <v>2808070</v>
      </c>
      <c r="BQ97" s="10">
        <v>5399062</v>
      </c>
      <c r="BR97" s="85">
        <f t="shared" si="16"/>
        <v>38409751</v>
      </c>
      <c r="BS97" s="85">
        <f t="shared" si="17"/>
        <v>80488748</v>
      </c>
    </row>
    <row r="98" spans="1:71" x14ac:dyDescent="0.25">
      <c r="A98" s="26" t="s">
        <v>289</v>
      </c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>
        <v>405803</v>
      </c>
      <c r="Y98" s="10">
        <v>1368275</v>
      </c>
      <c r="Z98" s="10"/>
      <c r="AA98" s="10"/>
      <c r="AB98" s="10"/>
      <c r="AC98" s="10">
        <v>92</v>
      </c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>
        <v>7716</v>
      </c>
      <c r="AS98" s="10">
        <v>55341</v>
      </c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85">
        <f t="shared" si="16"/>
        <v>413519</v>
      </c>
      <c r="BS98" s="85">
        <f t="shared" si="17"/>
        <v>1423708</v>
      </c>
    </row>
    <row r="99" spans="1:71" x14ac:dyDescent="0.25">
      <c r="A99" s="26" t="s">
        <v>290</v>
      </c>
      <c r="B99" s="10"/>
      <c r="C99" s="10"/>
      <c r="D99" s="10"/>
      <c r="E99" s="10"/>
      <c r="F99" s="10"/>
      <c r="G99" s="10"/>
      <c r="H99" s="10"/>
      <c r="I99" s="10"/>
      <c r="J99" s="10">
        <v>3615900</v>
      </c>
      <c r="K99" s="10">
        <v>9543728</v>
      </c>
      <c r="L99" s="10">
        <v>373969</v>
      </c>
      <c r="M99" s="10">
        <v>1526403</v>
      </c>
      <c r="N99" s="10">
        <v>1676193</v>
      </c>
      <c r="O99" s="10">
        <v>4589832</v>
      </c>
      <c r="P99" s="10"/>
      <c r="Q99" s="10"/>
      <c r="R99" s="10"/>
      <c r="S99" s="10"/>
      <c r="T99" s="10"/>
      <c r="U99" s="10"/>
      <c r="V99" s="10">
        <v>843310</v>
      </c>
      <c r="W99" s="10">
        <v>1445306</v>
      </c>
      <c r="X99" s="10">
        <v>169120</v>
      </c>
      <c r="Y99" s="10">
        <v>605530</v>
      </c>
      <c r="Z99" s="10">
        <v>-640703</v>
      </c>
      <c r="AA99" s="10">
        <v>-4054706</v>
      </c>
      <c r="AB99" s="10">
        <v>2161170</v>
      </c>
      <c r="AC99" s="10">
        <v>5067298</v>
      </c>
      <c r="AD99" s="10">
        <v>871448</v>
      </c>
      <c r="AE99" s="10">
        <v>6429251</v>
      </c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>
        <v>700091.85699999996</v>
      </c>
      <c r="AQ99" s="10">
        <v>815540.19299999997</v>
      </c>
      <c r="AR99" s="10">
        <v>3619399</v>
      </c>
      <c r="AS99" s="10">
        <v>11260208</v>
      </c>
      <c r="AT99" s="10"/>
      <c r="AU99" s="10"/>
      <c r="AV99" s="10"/>
      <c r="AW99" s="10"/>
      <c r="AX99" s="10">
        <v>654658</v>
      </c>
      <c r="AY99" s="10">
        <v>3604636</v>
      </c>
      <c r="AZ99" s="10"/>
      <c r="BA99" s="10"/>
      <c r="BB99" s="10"/>
      <c r="BC99" s="10"/>
      <c r="BD99" s="10">
        <v>-31711</v>
      </c>
      <c r="BE99" s="10">
        <v>-1703838</v>
      </c>
      <c r="BF99" s="10">
        <v>4346176</v>
      </c>
      <c r="BG99" s="10">
        <v>8296045</v>
      </c>
      <c r="BH99" s="10"/>
      <c r="BI99" s="10"/>
      <c r="BJ99" s="10"/>
      <c r="BK99" s="10"/>
      <c r="BL99" s="10"/>
      <c r="BM99" s="10"/>
      <c r="BN99" s="10"/>
      <c r="BO99" s="10"/>
      <c r="BP99" s="10">
        <v>1296888</v>
      </c>
      <c r="BQ99" s="10">
        <v>3672292</v>
      </c>
      <c r="BR99" s="85">
        <f t="shared" si="16"/>
        <v>19655908.857000001</v>
      </c>
      <c r="BS99" s="85">
        <f t="shared" si="17"/>
        <v>51097525.193000004</v>
      </c>
    </row>
    <row r="100" spans="1:71" x14ac:dyDescent="0.25">
      <c r="A100" s="26" t="s">
        <v>286</v>
      </c>
      <c r="B100" s="10"/>
      <c r="C100" s="10"/>
      <c r="D100" s="10"/>
      <c r="E100" s="10"/>
      <c r="F100" s="10"/>
      <c r="G100" s="10"/>
      <c r="H100" s="10"/>
      <c r="I100" s="10"/>
      <c r="J100" s="10">
        <v>2071348</v>
      </c>
      <c r="K100" s="10">
        <v>5044542</v>
      </c>
      <c r="L100" s="10">
        <v>335604</v>
      </c>
      <c r="M100" s="10">
        <v>571917</v>
      </c>
      <c r="N100" s="10">
        <v>9974</v>
      </c>
      <c r="O100" s="10">
        <v>97514</v>
      </c>
      <c r="P100" s="10"/>
      <c r="Q100" s="10"/>
      <c r="R100" s="10"/>
      <c r="S100" s="10"/>
      <c r="T100" s="10"/>
      <c r="U100" s="10"/>
      <c r="V100" s="10">
        <v>780054</v>
      </c>
      <c r="W100" s="10">
        <v>1348731</v>
      </c>
      <c r="X100" s="10">
        <v>246979</v>
      </c>
      <c r="Y100" s="10">
        <v>251930</v>
      </c>
      <c r="Z100" s="10">
        <v>740593</v>
      </c>
      <c r="AA100" s="10">
        <v>2573531</v>
      </c>
      <c r="AB100" s="10">
        <v>51725</v>
      </c>
      <c r="AC100" s="10">
        <v>178701</v>
      </c>
      <c r="AD100" s="10">
        <v>2233248</v>
      </c>
      <c r="AE100" s="10">
        <v>3142739</v>
      </c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>
        <v>1125924.2385646543</v>
      </c>
      <c r="AQ100" s="10">
        <v>2651268.8389999997</v>
      </c>
      <c r="AR100" s="10">
        <v>1306391</v>
      </c>
      <c r="AS100" s="10">
        <v>4054590</v>
      </c>
      <c r="AT100" s="10"/>
      <c r="AU100" s="10"/>
      <c r="AV100" s="10"/>
      <c r="AW100" s="10"/>
      <c r="AX100" s="10">
        <v>568236</v>
      </c>
      <c r="AY100" s="10">
        <v>2046505</v>
      </c>
      <c r="AZ100" s="10"/>
      <c r="BA100" s="10"/>
      <c r="BB100" s="10"/>
      <c r="BC100" s="10"/>
      <c r="BD100" s="10">
        <v>647827</v>
      </c>
      <c r="BE100" s="10">
        <v>1176979</v>
      </c>
      <c r="BF100" s="10">
        <v>3007453</v>
      </c>
      <c r="BG100" s="10">
        <v>5464985</v>
      </c>
      <c r="BH100" s="10"/>
      <c r="BI100" s="10"/>
      <c r="BJ100" s="10"/>
      <c r="BK100" s="10"/>
      <c r="BL100" s="10"/>
      <c r="BM100" s="10"/>
      <c r="BN100" s="10"/>
      <c r="BO100" s="10"/>
      <c r="BP100" s="10">
        <v>1511182</v>
      </c>
      <c r="BQ100" s="10">
        <v>1726770</v>
      </c>
      <c r="BR100" s="85">
        <f>SUM(B100+D100+F100+H100+J100+L100+N100+P100+R100+T100+V100+X100+Z100+AB100+AD100+AF100+AH100+AJ100+AL100+AN100+AP100+AR100+AT100+AV100+AX100+AZ100+BB100+BD100+BF100+BH100+BJ100+BL100+BN100+BP100)</f>
        <v>14636538.238564655</v>
      </c>
      <c r="BS100" s="85">
        <f>SUM(C100+E100+G100+I100+K100+M100+O100+Q100+S100+U100+W100+Y100+AA100+AC100+AE100+AG100+AI100+AK100+AM100+AO100+AQ100+AS100+AU100+AW100+AY100+BA100+BC100+BE100+BG100+BI100+BK100+BM100+BO100+BQ100)</f>
        <v>30330702.839000002</v>
      </c>
    </row>
    <row r="101" spans="1:71" x14ac:dyDescent="0.25">
      <c r="A101" s="34"/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  <c r="Z101" s="96"/>
      <c r="AA101" s="96"/>
      <c r="AB101" s="96"/>
      <c r="AC101" s="96"/>
      <c r="AD101" s="96"/>
      <c r="AE101" s="96"/>
      <c r="AF101" s="96"/>
      <c r="AG101" s="96"/>
      <c r="AH101" s="96"/>
      <c r="AI101" s="96"/>
      <c r="AJ101" s="96"/>
      <c r="AK101" s="96"/>
      <c r="AL101" s="96"/>
      <c r="AM101" s="96"/>
      <c r="AN101" s="96"/>
      <c r="AO101" s="96"/>
      <c r="AP101" s="96"/>
      <c r="AQ101" s="96"/>
      <c r="AR101" s="96"/>
      <c r="AS101" s="96"/>
      <c r="AT101" s="96"/>
      <c r="AU101" s="96"/>
      <c r="AV101" s="96"/>
      <c r="AW101" s="96"/>
      <c r="AX101" s="96"/>
      <c r="AY101" s="96"/>
      <c r="AZ101" s="96"/>
      <c r="BA101" s="96"/>
      <c r="BB101" s="96"/>
      <c r="BC101" s="96"/>
      <c r="BD101" s="96"/>
      <c r="BE101" s="96"/>
      <c r="BF101" s="96"/>
      <c r="BG101" s="96"/>
      <c r="BH101" s="96"/>
      <c r="BI101" s="96"/>
      <c r="BJ101" s="96"/>
      <c r="BK101" s="96"/>
      <c r="BL101" s="96"/>
      <c r="BM101" s="96"/>
      <c r="BN101" s="96"/>
      <c r="BO101" s="96"/>
      <c r="BP101" s="96"/>
      <c r="BQ101" s="96"/>
      <c r="BR101" s="97"/>
      <c r="BS101" s="97"/>
    </row>
    <row r="102" spans="1:71" x14ac:dyDescent="0.25">
      <c r="A102" s="33" t="s">
        <v>237</v>
      </c>
    </row>
    <row r="103" spans="1:71" x14ac:dyDescent="0.25">
      <c r="A103" s="3" t="s">
        <v>0</v>
      </c>
      <c r="B103" s="107" t="s">
        <v>1</v>
      </c>
      <c r="C103" s="108"/>
      <c r="D103" s="107" t="s">
        <v>2</v>
      </c>
      <c r="E103" s="108"/>
      <c r="F103" s="107" t="s">
        <v>3</v>
      </c>
      <c r="G103" s="108"/>
      <c r="H103" s="107" t="s">
        <v>307</v>
      </c>
      <c r="I103" s="108"/>
      <c r="J103" s="107" t="s">
        <v>5</v>
      </c>
      <c r="K103" s="108"/>
      <c r="L103" s="107" t="s">
        <v>6</v>
      </c>
      <c r="M103" s="108"/>
      <c r="N103" s="107" t="s">
        <v>7</v>
      </c>
      <c r="O103" s="108"/>
      <c r="P103" s="107" t="s">
        <v>8</v>
      </c>
      <c r="Q103" s="108"/>
      <c r="R103" s="107" t="s">
        <v>9</v>
      </c>
      <c r="S103" s="108"/>
      <c r="T103" s="107" t="s">
        <v>10</v>
      </c>
      <c r="U103" s="108"/>
      <c r="V103" s="107" t="s">
        <v>11</v>
      </c>
      <c r="W103" s="108"/>
      <c r="X103" s="107" t="s">
        <v>12</v>
      </c>
      <c r="Y103" s="108"/>
      <c r="Z103" s="107" t="s">
        <v>13</v>
      </c>
      <c r="AA103" s="108"/>
      <c r="AB103" s="107" t="s">
        <v>14</v>
      </c>
      <c r="AC103" s="108"/>
      <c r="AD103" s="107" t="s">
        <v>15</v>
      </c>
      <c r="AE103" s="108"/>
      <c r="AF103" s="107" t="s">
        <v>16</v>
      </c>
      <c r="AG103" s="108"/>
      <c r="AH103" s="107" t="s">
        <v>17</v>
      </c>
      <c r="AI103" s="108"/>
      <c r="AJ103" s="107" t="s">
        <v>18</v>
      </c>
      <c r="AK103" s="108"/>
      <c r="AL103" s="107" t="s">
        <v>296</v>
      </c>
      <c r="AM103" s="108"/>
      <c r="AN103" s="107" t="s">
        <v>19</v>
      </c>
      <c r="AO103" s="108"/>
      <c r="AP103" s="107" t="s">
        <v>20</v>
      </c>
      <c r="AQ103" s="108"/>
      <c r="AR103" s="107" t="s">
        <v>21</v>
      </c>
      <c r="AS103" s="108"/>
      <c r="AT103" s="107" t="s">
        <v>22</v>
      </c>
      <c r="AU103" s="108"/>
      <c r="AV103" s="107" t="s">
        <v>23</v>
      </c>
      <c r="AW103" s="108"/>
      <c r="AX103" s="107" t="s">
        <v>24</v>
      </c>
      <c r="AY103" s="108"/>
      <c r="AZ103" s="107" t="s">
        <v>25</v>
      </c>
      <c r="BA103" s="108"/>
      <c r="BB103" s="107" t="s">
        <v>26</v>
      </c>
      <c r="BC103" s="108"/>
      <c r="BD103" s="107" t="s">
        <v>27</v>
      </c>
      <c r="BE103" s="108"/>
      <c r="BF103" s="107" t="s">
        <v>28</v>
      </c>
      <c r="BG103" s="108"/>
      <c r="BH103" s="107" t="s">
        <v>29</v>
      </c>
      <c r="BI103" s="108"/>
      <c r="BJ103" s="107" t="s">
        <v>30</v>
      </c>
      <c r="BK103" s="108"/>
      <c r="BL103" s="107" t="s">
        <v>31</v>
      </c>
      <c r="BM103" s="108"/>
      <c r="BN103" s="111" t="s">
        <v>32</v>
      </c>
      <c r="BO103" s="112"/>
      <c r="BP103" s="107" t="s">
        <v>33</v>
      </c>
      <c r="BQ103" s="108"/>
      <c r="BR103" s="109" t="s">
        <v>34</v>
      </c>
      <c r="BS103" s="110"/>
    </row>
    <row r="104" spans="1:71" ht="30" x14ac:dyDescent="0.25">
      <c r="A104" s="3"/>
      <c r="B104" s="66" t="s">
        <v>294</v>
      </c>
      <c r="C104" s="67" t="s">
        <v>295</v>
      </c>
      <c r="D104" s="66" t="s">
        <v>294</v>
      </c>
      <c r="E104" s="67" t="s">
        <v>295</v>
      </c>
      <c r="F104" s="66" t="s">
        <v>294</v>
      </c>
      <c r="G104" s="67" t="s">
        <v>295</v>
      </c>
      <c r="H104" s="66" t="s">
        <v>294</v>
      </c>
      <c r="I104" s="67" t="s">
        <v>295</v>
      </c>
      <c r="J104" s="66" t="s">
        <v>294</v>
      </c>
      <c r="K104" s="67" t="s">
        <v>295</v>
      </c>
      <c r="L104" s="66" t="s">
        <v>294</v>
      </c>
      <c r="M104" s="67" t="s">
        <v>295</v>
      </c>
      <c r="N104" s="66" t="s">
        <v>294</v>
      </c>
      <c r="O104" s="67" t="s">
        <v>295</v>
      </c>
      <c r="P104" s="66" t="s">
        <v>294</v>
      </c>
      <c r="Q104" s="67" t="s">
        <v>295</v>
      </c>
      <c r="R104" s="66" t="s">
        <v>294</v>
      </c>
      <c r="S104" s="67" t="s">
        <v>295</v>
      </c>
      <c r="T104" s="66" t="s">
        <v>294</v>
      </c>
      <c r="U104" s="67" t="s">
        <v>295</v>
      </c>
      <c r="V104" s="66" t="s">
        <v>294</v>
      </c>
      <c r="W104" s="67" t="s">
        <v>295</v>
      </c>
      <c r="X104" s="66" t="s">
        <v>294</v>
      </c>
      <c r="Y104" s="67" t="s">
        <v>295</v>
      </c>
      <c r="Z104" s="66" t="s">
        <v>294</v>
      </c>
      <c r="AA104" s="67" t="s">
        <v>295</v>
      </c>
      <c r="AB104" s="66" t="s">
        <v>294</v>
      </c>
      <c r="AC104" s="67" t="s">
        <v>295</v>
      </c>
      <c r="AD104" s="66" t="s">
        <v>294</v>
      </c>
      <c r="AE104" s="67" t="s">
        <v>295</v>
      </c>
      <c r="AF104" s="66" t="s">
        <v>294</v>
      </c>
      <c r="AG104" s="67" t="s">
        <v>295</v>
      </c>
      <c r="AH104" s="66" t="s">
        <v>294</v>
      </c>
      <c r="AI104" s="67" t="s">
        <v>295</v>
      </c>
      <c r="AJ104" s="66" t="s">
        <v>294</v>
      </c>
      <c r="AK104" s="67" t="s">
        <v>295</v>
      </c>
      <c r="AL104" s="66" t="s">
        <v>294</v>
      </c>
      <c r="AM104" s="67" t="s">
        <v>295</v>
      </c>
      <c r="AN104" s="66" t="s">
        <v>294</v>
      </c>
      <c r="AO104" s="67" t="s">
        <v>295</v>
      </c>
      <c r="AP104" s="66" t="s">
        <v>294</v>
      </c>
      <c r="AQ104" s="67" t="s">
        <v>295</v>
      </c>
      <c r="AR104" s="66" t="s">
        <v>294</v>
      </c>
      <c r="AS104" s="67" t="s">
        <v>295</v>
      </c>
      <c r="AT104" s="66" t="s">
        <v>294</v>
      </c>
      <c r="AU104" s="67" t="s">
        <v>295</v>
      </c>
      <c r="AV104" s="66" t="s">
        <v>294</v>
      </c>
      <c r="AW104" s="67" t="s">
        <v>295</v>
      </c>
      <c r="AX104" s="66" t="s">
        <v>294</v>
      </c>
      <c r="AY104" s="67" t="s">
        <v>295</v>
      </c>
      <c r="AZ104" s="66" t="s">
        <v>294</v>
      </c>
      <c r="BA104" s="67" t="s">
        <v>295</v>
      </c>
      <c r="BB104" s="66" t="s">
        <v>294</v>
      </c>
      <c r="BC104" s="67" t="s">
        <v>295</v>
      </c>
      <c r="BD104" s="66" t="s">
        <v>294</v>
      </c>
      <c r="BE104" s="67" t="s">
        <v>295</v>
      </c>
      <c r="BF104" s="66" t="s">
        <v>294</v>
      </c>
      <c r="BG104" s="67" t="s">
        <v>295</v>
      </c>
      <c r="BH104" s="66" t="s">
        <v>294</v>
      </c>
      <c r="BI104" s="67" t="s">
        <v>295</v>
      </c>
      <c r="BJ104" s="66" t="s">
        <v>294</v>
      </c>
      <c r="BK104" s="67" t="s">
        <v>295</v>
      </c>
      <c r="BL104" s="66" t="s">
        <v>294</v>
      </c>
      <c r="BM104" s="67" t="s">
        <v>295</v>
      </c>
      <c r="BN104" s="66" t="s">
        <v>294</v>
      </c>
      <c r="BO104" s="67" t="s">
        <v>295</v>
      </c>
      <c r="BP104" s="66" t="s">
        <v>294</v>
      </c>
      <c r="BQ104" s="67" t="s">
        <v>295</v>
      </c>
      <c r="BR104" s="66" t="s">
        <v>294</v>
      </c>
      <c r="BS104" s="67" t="s">
        <v>295</v>
      </c>
    </row>
    <row r="105" spans="1:71" x14ac:dyDescent="0.25">
      <c r="A105" s="26" t="s">
        <v>241</v>
      </c>
      <c r="B105" s="10">
        <f>B116-B83-B72-B61-B39-B28-B17-B6-B50-B94</f>
        <v>0</v>
      </c>
      <c r="C105" s="10">
        <f t="shared" ref="C105:BN105" si="18">C116-C83-C72-C61-C39-C28-C17-C6-C50-C94</f>
        <v>0</v>
      </c>
      <c r="D105" s="10">
        <f t="shared" si="18"/>
        <v>0</v>
      </c>
      <c r="E105" s="10">
        <f t="shared" si="18"/>
        <v>0</v>
      </c>
      <c r="F105" s="10">
        <f t="shared" si="18"/>
        <v>9456969</v>
      </c>
      <c r="G105" s="10">
        <f t="shared" si="18"/>
        <v>39261660</v>
      </c>
      <c r="H105" s="10">
        <f t="shared" si="18"/>
        <v>39405</v>
      </c>
      <c r="I105" s="10">
        <f t="shared" si="18"/>
        <v>114280</v>
      </c>
      <c r="J105" s="10">
        <f t="shared" si="18"/>
        <v>750273</v>
      </c>
      <c r="K105" s="10">
        <f t="shared" si="18"/>
        <v>1929771</v>
      </c>
      <c r="L105" s="10">
        <f t="shared" si="18"/>
        <v>17829</v>
      </c>
      <c r="M105" s="10">
        <f t="shared" si="18"/>
        <v>49988</v>
      </c>
      <c r="N105" s="10">
        <f t="shared" si="18"/>
        <v>32953</v>
      </c>
      <c r="O105" s="10">
        <f t="shared" si="18"/>
        <v>103175</v>
      </c>
      <c r="P105" s="10">
        <f t="shared" si="18"/>
        <v>4936</v>
      </c>
      <c r="Q105" s="10">
        <f t="shared" si="18"/>
        <v>5157</v>
      </c>
      <c r="R105" s="10">
        <f t="shared" si="18"/>
        <v>291</v>
      </c>
      <c r="S105" s="10">
        <f t="shared" si="18"/>
        <v>399</v>
      </c>
      <c r="T105" s="10">
        <f t="shared" si="18"/>
        <v>1579617.9</v>
      </c>
      <c r="U105" s="10">
        <f t="shared" si="18"/>
        <v>2987014.67</v>
      </c>
      <c r="V105" s="10">
        <f t="shared" si="18"/>
        <v>243276</v>
      </c>
      <c r="W105" s="10">
        <f t="shared" si="18"/>
        <v>660638</v>
      </c>
      <c r="X105" s="10">
        <f t="shared" si="18"/>
        <v>16819</v>
      </c>
      <c r="Y105" s="10">
        <f t="shared" si="18"/>
        <v>39502</v>
      </c>
      <c r="Z105" s="10">
        <f t="shared" si="18"/>
        <v>429460</v>
      </c>
      <c r="AA105" s="10">
        <f t="shared" si="18"/>
        <v>1542606</v>
      </c>
      <c r="AB105" s="10">
        <f t="shared" si="18"/>
        <v>1119396</v>
      </c>
      <c r="AC105" s="10">
        <f t="shared" si="18"/>
        <v>2300777</v>
      </c>
      <c r="AD105" s="10">
        <f t="shared" si="18"/>
        <v>1094448</v>
      </c>
      <c r="AE105" s="10">
        <f t="shared" si="18"/>
        <v>1639895</v>
      </c>
      <c r="AF105" s="10">
        <f t="shared" si="18"/>
        <v>1949</v>
      </c>
      <c r="AG105" s="10">
        <f t="shared" si="18"/>
        <v>-497629</v>
      </c>
      <c r="AH105" s="10">
        <f t="shared" si="18"/>
        <v>70850</v>
      </c>
      <c r="AI105" s="10">
        <f t="shared" si="18"/>
        <v>121216</v>
      </c>
      <c r="AJ105" s="10">
        <f t="shared" si="18"/>
        <v>690</v>
      </c>
      <c r="AK105" s="10">
        <f t="shared" si="18"/>
        <v>7090</v>
      </c>
      <c r="AL105" s="10">
        <f t="shared" si="18"/>
        <v>-1</v>
      </c>
      <c r="AM105" s="10">
        <f t="shared" si="18"/>
        <v>0</v>
      </c>
      <c r="AN105" s="10">
        <f t="shared" si="18"/>
        <v>0</v>
      </c>
      <c r="AO105" s="10">
        <f t="shared" si="18"/>
        <v>0</v>
      </c>
      <c r="AP105" s="10">
        <f t="shared" si="18"/>
        <v>363549.56400000118</v>
      </c>
      <c r="AQ105" s="10">
        <f t="shared" si="18"/>
        <v>985872.29500000458</v>
      </c>
      <c r="AR105" s="10">
        <f t="shared" si="18"/>
        <v>1836322</v>
      </c>
      <c r="AS105" s="10">
        <f t="shared" si="18"/>
        <v>4881021</v>
      </c>
      <c r="AT105" s="10">
        <f t="shared" si="18"/>
        <v>1609093</v>
      </c>
      <c r="AU105" s="10">
        <f t="shared" si="18"/>
        <v>25722449</v>
      </c>
      <c r="AV105" s="10">
        <f t="shared" si="18"/>
        <v>12566</v>
      </c>
      <c r="AW105" s="10">
        <f t="shared" si="18"/>
        <v>39362</v>
      </c>
      <c r="AX105" s="10">
        <f t="shared" si="18"/>
        <v>74981</v>
      </c>
      <c r="AY105" s="10">
        <f t="shared" si="18"/>
        <v>264443</v>
      </c>
      <c r="AZ105" s="10">
        <f t="shared" si="18"/>
        <v>0</v>
      </c>
      <c r="BA105" s="10">
        <f t="shared" si="18"/>
        <v>0</v>
      </c>
      <c r="BB105" s="10">
        <f t="shared" si="18"/>
        <v>0</v>
      </c>
      <c r="BC105" s="10">
        <f t="shared" si="18"/>
        <v>0</v>
      </c>
      <c r="BD105" s="10">
        <f t="shared" si="18"/>
        <v>7089</v>
      </c>
      <c r="BE105" s="10">
        <f t="shared" si="18"/>
        <v>34755</v>
      </c>
      <c r="BF105" s="10">
        <f t="shared" si="18"/>
        <v>47088</v>
      </c>
      <c r="BG105" s="10">
        <f t="shared" si="18"/>
        <v>185589</v>
      </c>
      <c r="BH105" s="10">
        <f t="shared" si="18"/>
        <v>12663</v>
      </c>
      <c r="BI105" s="10">
        <f t="shared" si="18"/>
        <v>546142</v>
      </c>
      <c r="BJ105" s="10">
        <f t="shared" si="18"/>
        <v>10613437</v>
      </c>
      <c r="BK105" s="10">
        <f t="shared" si="18"/>
        <v>28309473</v>
      </c>
      <c r="BL105" s="10">
        <f t="shared" si="18"/>
        <v>5685080</v>
      </c>
      <c r="BM105" s="10">
        <f t="shared" si="18"/>
        <v>7469488</v>
      </c>
      <c r="BN105" s="10">
        <f t="shared" si="18"/>
        <v>10201202</v>
      </c>
      <c r="BO105" s="10">
        <f t="shared" ref="BO105:BQ105" si="19">BO116-BO83-BO72-BO61-BO39-BO28-BO17-BO6-BO50-BO94</f>
        <v>19997566</v>
      </c>
      <c r="BP105" s="10">
        <f t="shared" si="19"/>
        <v>38525</v>
      </c>
      <c r="BQ105" s="10">
        <f t="shared" si="19"/>
        <v>140606</v>
      </c>
      <c r="BR105" s="85">
        <f>SUM(B105+D105+F105+H105+J105+L105+N105+P105+R105+T105+V105+X105+Z105+AB105+AD105+AF105+AH105+AJ105+AL105+AN105+AP105+AR105+AT105+AV105+AX105+AZ105+BB105+BD105+BF105+BH105+BJ105+BL105+BN105+BP105)</f>
        <v>45360756.464000002</v>
      </c>
      <c r="BS105" s="85">
        <f>SUM(C105+E105+G105+I105+K105+M105+O105+Q105+S105+U105+W105+Y105+AA105+AC105+AE105+AG105+AI105+AK105+AM105+AO105+AQ105+AS105+AU105+AW105+AY105+BA105+BC105+BE105+BG105+BI105+BK105+BM105+BO105+BQ105)</f>
        <v>138842305.965</v>
      </c>
    </row>
    <row r="106" spans="1:71" x14ac:dyDescent="0.25">
      <c r="A106" s="10" t="s">
        <v>292</v>
      </c>
      <c r="B106" s="10">
        <f t="shared" ref="B106:Q111" si="20">B117-B84-B73-B62-B40-B29-B18-B7-B51-B95</f>
        <v>0</v>
      </c>
      <c r="C106" s="10">
        <f t="shared" si="20"/>
        <v>0</v>
      </c>
      <c r="D106" s="10">
        <f t="shared" si="20"/>
        <v>0</v>
      </c>
      <c r="E106" s="10">
        <f t="shared" si="20"/>
        <v>0</v>
      </c>
      <c r="F106" s="10">
        <f t="shared" si="20"/>
        <v>0</v>
      </c>
      <c r="G106" s="10">
        <f t="shared" si="20"/>
        <v>0</v>
      </c>
      <c r="H106" s="10">
        <f t="shared" si="20"/>
        <v>158362</v>
      </c>
      <c r="I106" s="10">
        <f t="shared" si="20"/>
        <v>158362</v>
      </c>
      <c r="J106" s="10">
        <f t="shared" si="20"/>
        <v>-63779</v>
      </c>
      <c r="K106" s="10">
        <f t="shared" si="20"/>
        <v>1775405</v>
      </c>
      <c r="L106" s="10">
        <f t="shared" si="20"/>
        <v>16077</v>
      </c>
      <c r="M106" s="10">
        <f t="shared" si="20"/>
        <v>188014</v>
      </c>
      <c r="N106" s="10">
        <f t="shared" si="20"/>
        <v>89983</v>
      </c>
      <c r="O106" s="10">
        <f t="shared" si="20"/>
        <v>89983</v>
      </c>
      <c r="P106" s="10">
        <f t="shared" si="20"/>
        <v>11931</v>
      </c>
      <c r="Q106" s="10">
        <f t="shared" si="20"/>
        <v>11931</v>
      </c>
      <c r="R106" s="10">
        <f t="shared" ref="R106:BQ106" si="21">R117-R84-R73-R62-R40-R29-R18-R7-R51-R95</f>
        <v>106</v>
      </c>
      <c r="S106" s="10">
        <f t="shared" si="21"/>
        <v>106</v>
      </c>
      <c r="T106" s="10">
        <f t="shared" si="21"/>
        <v>1897925.28</v>
      </c>
      <c r="U106" s="10">
        <f t="shared" si="21"/>
        <v>62136389.060000002</v>
      </c>
      <c r="V106" s="10">
        <f t="shared" si="21"/>
        <v>753566</v>
      </c>
      <c r="W106" s="10">
        <f t="shared" si="21"/>
        <v>753566</v>
      </c>
      <c r="X106" s="10">
        <f t="shared" si="21"/>
        <v>3558</v>
      </c>
      <c r="Y106" s="10">
        <f t="shared" si="21"/>
        <v>7785.7199999999721</v>
      </c>
      <c r="Z106" s="10">
        <f t="shared" si="21"/>
        <v>2280682</v>
      </c>
      <c r="AA106" s="10">
        <f t="shared" si="21"/>
        <v>2280682</v>
      </c>
      <c r="AB106" s="10">
        <f t="shared" si="21"/>
        <v>7058644</v>
      </c>
      <c r="AC106" s="10">
        <f t="shared" si="21"/>
        <v>7058644</v>
      </c>
      <c r="AD106" s="10">
        <f t="shared" si="21"/>
        <v>-11982</v>
      </c>
      <c r="AE106" s="10">
        <f t="shared" si="21"/>
        <v>859165</v>
      </c>
      <c r="AF106" s="10">
        <f t="shared" si="21"/>
        <v>13541</v>
      </c>
      <c r="AG106" s="10">
        <f t="shared" si="21"/>
        <v>13541</v>
      </c>
      <c r="AH106" s="10">
        <f t="shared" si="21"/>
        <v>345618</v>
      </c>
      <c r="AI106" s="10">
        <f t="shared" si="21"/>
        <v>345618</v>
      </c>
      <c r="AJ106" s="10">
        <f t="shared" si="21"/>
        <v>1051662</v>
      </c>
      <c r="AK106" s="10">
        <f t="shared" si="21"/>
        <v>1051662</v>
      </c>
      <c r="AL106" s="10">
        <f t="shared" si="21"/>
        <v>1</v>
      </c>
      <c r="AM106" s="10">
        <f t="shared" si="21"/>
        <v>1</v>
      </c>
      <c r="AN106" s="10">
        <f t="shared" si="21"/>
        <v>0</v>
      </c>
      <c r="AO106" s="10">
        <f t="shared" si="21"/>
        <v>0</v>
      </c>
      <c r="AP106" s="10">
        <f t="shared" si="21"/>
        <v>330751.77803651849</v>
      </c>
      <c r="AQ106" s="10">
        <f t="shared" si="21"/>
        <v>4347274.3885694817</v>
      </c>
      <c r="AR106" s="10">
        <f t="shared" si="21"/>
        <v>9690456</v>
      </c>
      <c r="AS106" s="10">
        <f t="shared" si="21"/>
        <v>9690456</v>
      </c>
      <c r="AT106" s="10">
        <f t="shared" si="21"/>
        <v>9956668</v>
      </c>
      <c r="AU106" s="10">
        <f t="shared" si="21"/>
        <v>25993952</v>
      </c>
      <c r="AV106" s="10">
        <f t="shared" si="21"/>
        <v>13742</v>
      </c>
      <c r="AW106" s="10">
        <f t="shared" si="21"/>
        <v>365864</v>
      </c>
      <c r="AX106" s="10">
        <f t="shared" si="21"/>
        <v>440114</v>
      </c>
      <c r="AY106" s="10">
        <f t="shared" si="21"/>
        <v>440114</v>
      </c>
      <c r="AZ106" s="10">
        <f t="shared" si="21"/>
        <v>0</v>
      </c>
      <c r="BA106" s="10">
        <f t="shared" si="21"/>
        <v>0</v>
      </c>
      <c r="BB106" s="10">
        <f t="shared" si="21"/>
        <v>0</v>
      </c>
      <c r="BC106" s="10">
        <f t="shared" si="21"/>
        <v>0</v>
      </c>
      <c r="BD106" s="10">
        <f t="shared" si="21"/>
        <v>32758</v>
      </c>
      <c r="BE106" s="10">
        <f t="shared" si="21"/>
        <v>141836</v>
      </c>
      <c r="BF106" s="10">
        <f t="shared" si="21"/>
        <v>504323</v>
      </c>
      <c r="BG106" s="10">
        <f t="shared" si="21"/>
        <v>504323</v>
      </c>
      <c r="BH106" s="10">
        <f t="shared" si="21"/>
        <v>160273</v>
      </c>
      <c r="BI106" s="10">
        <f t="shared" si="21"/>
        <v>160272</v>
      </c>
      <c r="BJ106" s="10">
        <f t="shared" si="21"/>
        <v>5362990</v>
      </c>
      <c r="BK106" s="10">
        <f t="shared" si="21"/>
        <v>5362990</v>
      </c>
      <c r="BL106" s="10">
        <f t="shared" si="21"/>
        <v>-2373840</v>
      </c>
      <c r="BM106" s="10">
        <f t="shared" si="21"/>
        <v>4353459</v>
      </c>
      <c r="BN106" s="10">
        <f t="shared" si="21"/>
        <v>8060598</v>
      </c>
      <c r="BO106" s="10">
        <f t="shared" si="21"/>
        <v>8060598</v>
      </c>
      <c r="BP106" s="10">
        <f t="shared" si="21"/>
        <v>-4825</v>
      </c>
      <c r="BQ106" s="10">
        <f t="shared" si="21"/>
        <v>276493</v>
      </c>
      <c r="BR106" s="85">
        <f t="shared" ref="BR106:BR110" si="22">SUM(B106+D106+F106+H106+J106+L106+N106+P106+R106+T106+V106+X106+Z106+AB106+AD106+AF106+AH106+AJ106+AL106+AN106+AP106+AR106+AT106+AV106+AX106+AZ106+BB106+BD106+BF106+BH106+BJ106+BL106+BN106+BP106)</f>
        <v>45779904.058036521</v>
      </c>
      <c r="BS106" s="85">
        <f t="shared" ref="BS106:BS110" si="23">SUM(C106+E106+G106+I106+K106+M106+O106+Q106+S106+U106+W106+Y106+AA106+AC106+AE106+AG106+AI106+AK106+AM106+AO106+AQ106+AS106+AU106+AW106+AY106+BA106+BC106+BE106+BG106+BI106+BK106+BM106+BO106+BQ106)</f>
        <v>136428486.16856948</v>
      </c>
    </row>
    <row r="107" spans="1:71" x14ac:dyDescent="0.25">
      <c r="A107" s="10" t="s">
        <v>291</v>
      </c>
      <c r="B107" s="10">
        <f t="shared" si="20"/>
        <v>0</v>
      </c>
      <c r="C107" s="10">
        <f t="shared" si="20"/>
        <v>0</v>
      </c>
      <c r="D107" s="10">
        <f t="shared" si="20"/>
        <v>0</v>
      </c>
      <c r="E107" s="10">
        <f t="shared" si="20"/>
        <v>0</v>
      </c>
      <c r="F107" s="10">
        <f t="shared" si="20"/>
        <v>0</v>
      </c>
      <c r="G107" s="10">
        <f t="shared" si="20"/>
        <v>0</v>
      </c>
      <c r="H107" s="10">
        <f t="shared" si="20"/>
        <v>171501</v>
      </c>
      <c r="I107" s="10">
        <f t="shared" si="20"/>
        <v>139502</v>
      </c>
      <c r="J107" s="10">
        <f t="shared" si="20"/>
        <v>0</v>
      </c>
      <c r="K107" s="10">
        <f t="shared" si="20"/>
        <v>1548073</v>
      </c>
      <c r="L107" s="10">
        <f t="shared" si="20"/>
        <v>0</v>
      </c>
      <c r="M107" s="10">
        <f t="shared" si="20"/>
        <v>149821</v>
      </c>
      <c r="N107" s="10">
        <f t="shared" si="20"/>
        <v>85076</v>
      </c>
      <c r="O107" s="10">
        <f t="shared" si="20"/>
        <v>77015</v>
      </c>
      <c r="P107" s="10">
        <f t="shared" si="20"/>
        <v>-6967</v>
      </c>
      <c r="Q107" s="10">
        <f t="shared" si="20"/>
        <v>-633</v>
      </c>
      <c r="R107" s="10">
        <f t="shared" ref="R107:BQ107" si="24">R118-R85-R74-R63-R41-R30-R19-R8-R52-R96</f>
        <v>326</v>
      </c>
      <c r="S107" s="10">
        <f t="shared" si="24"/>
        <v>1334</v>
      </c>
      <c r="T107" s="10">
        <f t="shared" si="24"/>
        <v>0</v>
      </c>
      <c r="U107" s="10">
        <f t="shared" si="24"/>
        <v>58777165.600000001</v>
      </c>
      <c r="V107" s="10">
        <f t="shared" si="24"/>
        <v>804954.79999999981</v>
      </c>
      <c r="W107" s="10">
        <f t="shared" si="24"/>
        <v>1011545</v>
      </c>
      <c r="X107" s="10">
        <f t="shared" si="24"/>
        <v>1</v>
      </c>
      <c r="Y107" s="10">
        <f t="shared" si="24"/>
        <v>4771.5600000000559</v>
      </c>
      <c r="Z107" s="10">
        <f t="shared" si="24"/>
        <v>-2277320</v>
      </c>
      <c r="AA107" s="10">
        <f t="shared" si="24"/>
        <v>-2428406</v>
      </c>
      <c r="AB107" s="10">
        <f t="shared" si="24"/>
        <v>7519339</v>
      </c>
      <c r="AC107" s="10">
        <f t="shared" si="24"/>
        <v>7034776</v>
      </c>
      <c r="AD107" s="10">
        <f t="shared" si="24"/>
        <v>0</v>
      </c>
      <c r="AE107" s="10">
        <f t="shared" si="24"/>
        <v>750727</v>
      </c>
      <c r="AF107" s="10">
        <f t="shared" si="24"/>
        <v>11743</v>
      </c>
      <c r="AG107" s="10">
        <f t="shared" si="24"/>
        <v>519076</v>
      </c>
      <c r="AH107" s="10">
        <f t="shared" si="24"/>
        <v>425703</v>
      </c>
      <c r="AI107" s="10">
        <f t="shared" si="24"/>
        <v>293906</v>
      </c>
      <c r="AJ107" s="10">
        <f t="shared" si="24"/>
        <v>-1007209</v>
      </c>
      <c r="AK107" s="10">
        <f t="shared" si="24"/>
        <v>-934337</v>
      </c>
      <c r="AL107" s="10">
        <f t="shared" si="24"/>
        <v>0</v>
      </c>
      <c r="AM107" s="10">
        <f t="shared" si="24"/>
        <v>0</v>
      </c>
      <c r="AN107" s="10">
        <f t="shared" si="24"/>
        <v>0</v>
      </c>
      <c r="AO107" s="10">
        <f t="shared" si="24"/>
        <v>0</v>
      </c>
      <c r="AP107" s="10">
        <f t="shared" si="24"/>
        <v>0</v>
      </c>
      <c r="AQ107" s="10">
        <f t="shared" si="24"/>
        <v>4166812.5379999857</v>
      </c>
      <c r="AR107" s="10">
        <f t="shared" si="24"/>
        <v>6462090</v>
      </c>
      <c r="AS107" s="10">
        <f t="shared" si="24"/>
        <v>6462090</v>
      </c>
      <c r="AT107" s="10">
        <f t="shared" si="24"/>
        <v>-23579151</v>
      </c>
      <c r="AU107" s="10">
        <f t="shared" si="24"/>
        <v>29747706</v>
      </c>
      <c r="AV107" s="10">
        <f t="shared" si="24"/>
        <v>0</v>
      </c>
      <c r="AW107" s="10">
        <f t="shared" si="24"/>
        <v>344998</v>
      </c>
      <c r="AX107" s="10">
        <f t="shared" si="24"/>
        <v>389987</v>
      </c>
      <c r="AY107" s="10">
        <f t="shared" si="24"/>
        <v>372092</v>
      </c>
      <c r="AZ107" s="10">
        <f t="shared" si="24"/>
        <v>0</v>
      </c>
      <c r="BA107" s="10">
        <f t="shared" si="24"/>
        <v>0</v>
      </c>
      <c r="BB107" s="10">
        <f t="shared" si="24"/>
        <v>0</v>
      </c>
      <c r="BC107" s="10">
        <f t="shared" si="24"/>
        <v>0</v>
      </c>
      <c r="BD107" s="10">
        <f t="shared" si="24"/>
        <v>0</v>
      </c>
      <c r="BE107" s="10">
        <f t="shared" si="24"/>
        <v>-80597</v>
      </c>
      <c r="BF107" s="10">
        <f t="shared" si="24"/>
        <v>340351</v>
      </c>
      <c r="BG107" s="10">
        <f t="shared" si="24"/>
        <v>289036</v>
      </c>
      <c r="BH107" s="10">
        <f t="shared" si="24"/>
        <v>163001</v>
      </c>
      <c r="BI107" s="10">
        <f t="shared" si="24"/>
        <v>172467</v>
      </c>
      <c r="BJ107" s="10">
        <f t="shared" si="24"/>
        <v>5342114</v>
      </c>
      <c r="BK107" s="10">
        <f t="shared" si="24"/>
        <v>4056636</v>
      </c>
      <c r="BL107" s="10">
        <f t="shared" si="24"/>
        <v>0</v>
      </c>
      <c r="BM107" s="10">
        <f t="shared" si="24"/>
        <v>5192749</v>
      </c>
      <c r="BN107" s="10">
        <f t="shared" si="24"/>
        <v>6450913</v>
      </c>
      <c r="BO107" s="10">
        <f t="shared" si="24"/>
        <v>6070685</v>
      </c>
      <c r="BP107" s="10">
        <f t="shared" si="24"/>
        <v>0</v>
      </c>
      <c r="BQ107" s="10">
        <f t="shared" si="24"/>
        <v>227399</v>
      </c>
      <c r="BR107" s="85">
        <f t="shared" si="22"/>
        <v>1296452.8000000007</v>
      </c>
      <c r="BS107" s="85">
        <f t="shared" si="23"/>
        <v>123966409.69799998</v>
      </c>
    </row>
    <row r="108" spans="1:71" x14ac:dyDescent="0.25">
      <c r="A108" s="26" t="s">
        <v>306</v>
      </c>
      <c r="B108" s="10">
        <f t="shared" si="20"/>
        <v>0</v>
      </c>
      <c r="C108" s="10">
        <f t="shared" si="20"/>
        <v>0</v>
      </c>
      <c r="D108" s="10">
        <f t="shared" si="20"/>
        <v>0</v>
      </c>
      <c r="E108" s="10">
        <f t="shared" si="20"/>
        <v>0</v>
      </c>
      <c r="F108" s="10">
        <f t="shared" si="20"/>
        <v>0</v>
      </c>
      <c r="G108" s="10">
        <f t="shared" si="20"/>
        <v>0</v>
      </c>
      <c r="H108" s="10">
        <f t="shared" si="20"/>
        <v>26266</v>
      </c>
      <c r="I108" s="10">
        <f t="shared" si="20"/>
        <v>133140</v>
      </c>
      <c r="J108" s="10">
        <f t="shared" si="20"/>
        <v>686494</v>
      </c>
      <c r="K108" s="10">
        <f t="shared" si="20"/>
        <v>2157103</v>
      </c>
      <c r="L108" s="10">
        <f t="shared" si="20"/>
        <v>0</v>
      </c>
      <c r="M108" s="10">
        <f t="shared" si="20"/>
        <v>0</v>
      </c>
      <c r="N108" s="10">
        <f t="shared" si="20"/>
        <v>37860</v>
      </c>
      <c r="O108" s="10">
        <f t="shared" si="20"/>
        <v>116143</v>
      </c>
      <c r="P108" s="10">
        <f t="shared" si="20"/>
        <v>9898</v>
      </c>
      <c r="Q108" s="10">
        <f t="shared" si="20"/>
        <v>16456</v>
      </c>
      <c r="R108" s="10">
        <f t="shared" ref="R108:BQ108" si="25">R119-R86-R75-R64-R42-R31-R20-R9-R53-R97</f>
        <v>71</v>
      </c>
      <c r="S108" s="10">
        <f t="shared" si="25"/>
        <v>-829</v>
      </c>
      <c r="T108" s="10">
        <f t="shared" si="25"/>
        <v>0</v>
      </c>
      <c r="U108" s="10">
        <f t="shared" si="25"/>
        <v>0</v>
      </c>
      <c r="V108" s="10">
        <f t="shared" si="25"/>
        <v>0</v>
      </c>
      <c r="W108" s="10">
        <f t="shared" si="25"/>
        <v>0</v>
      </c>
      <c r="X108" s="10">
        <f t="shared" si="25"/>
        <v>0</v>
      </c>
      <c r="Y108" s="10">
        <f t="shared" si="25"/>
        <v>0</v>
      </c>
      <c r="Z108" s="10">
        <f t="shared" si="25"/>
        <v>432823</v>
      </c>
      <c r="AA108" s="10">
        <f t="shared" si="25"/>
        <v>1394882</v>
      </c>
      <c r="AB108" s="10">
        <f t="shared" si="25"/>
        <v>658701</v>
      </c>
      <c r="AC108" s="10">
        <f t="shared" si="25"/>
        <v>2324645</v>
      </c>
      <c r="AD108" s="10">
        <f t="shared" si="25"/>
        <v>1082466</v>
      </c>
      <c r="AE108" s="10">
        <f t="shared" si="25"/>
        <v>1748333</v>
      </c>
      <c r="AF108" s="10">
        <f t="shared" si="25"/>
        <v>3747</v>
      </c>
      <c r="AG108" s="10">
        <f t="shared" si="25"/>
        <v>-1003164</v>
      </c>
      <c r="AH108" s="10">
        <f t="shared" si="25"/>
        <v>-9238</v>
      </c>
      <c r="AI108" s="10">
        <f t="shared" si="25"/>
        <v>172927</v>
      </c>
      <c r="AJ108" s="10">
        <f t="shared" si="25"/>
        <v>45143</v>
      </c>
      <c r="AK108" s="10">
        <f t="shared" si="25"/>
        <v>124415</v>
      </c>
      <c r="AL108" s="10">
        <f t="shared" si="25"/>
        <v>0</v>
      </c>
      <c r="AM108" s="10">
        <f t="shared" si="25"/>
        <v>0</v>
      </c>
      <c r="AN108" s="10">
        <f t="shared" si="25"/>
        <v>1</v>
      </c>
      <c r="AO108" s="10">
        <f t="shared" si="25"/>
        <v>0</v>
      </c>
      <c r="AP108" s="10">
        <f t="shared" si="25"/>
        <v>0</v>
      </c>
      <c r="AQ108" s="10">
        <f t="shared" si="25"/>
        <v>0</v>
      </c>
      <c r="AR108" s="10">
        <f t="shared" si="25"/>
        <v>5064691</v>
      </c>
      <c r="AS108" s="10">
        <f t="shared" si="25"/>
        <v>8109388</v>
      </c>
      <c r="AT108" s="10">
        <f t="shared" si="25"/>
        <v>11565761</v>
      </c>
      <c r="AU108" s="10">
        <f t="shared" si="25"/>
        <v>21968695</v>
      </c>
      <c r="AV108" s="10">
        <f t="shared" si="25"/>
        <v>26308</v>
      </c>
      <c r="AW108" s="10">
        <f t="shared" si="25"/>
        <v>60229</v>
      </c>
      <c r="AX108" s="10">
        <f t="shared" si="25"/>
        <v>0</v>
      </c>
      <c r="AY108" s="10">
        <f t="shared" si="25"/>
        <v>0</v>
      </c>
      <c r="AZ108" s="10">
        <f t="shared" si="25"/>
        <v>0</v>
      </c>
      <c r="BA108" s="10">
        <f t="shared" si="25"/>
        <v>0</v>
      </c>
      <c r="BB108" s="10">
        <f t="shared" si="25"/>
        <v>0</v>
      </c>
      <c r="BC108" s="10">
        <f t="shared" si="25"/>
        <v>0</v>
      </c>
      <c r="BD108" s="10">
        <f t="shared" si="25"/>
        <v>39848</v>
      </c>
      <c r="BE108" s="10">
        <f t="shared" si="25"/>
        <v>95994</v>
      </c>
      <c r="BF108" s="10">
        <f t="shared" si="25"/>
        <v>0</v>
      </c>
      <c r="BG108" s="10">
        <f t="shared" si="25"/>
        <v>0</v>
      </c>
      <c r="BH108" s="10">
        <f t="shared" si="25"/>
        <v>0</v>
      </c>
      <c r="BI108" s="10">
        <f t="shared" si="25"/>
        <v>0</v>
      </c>
      <c r="BJ108" s="10">
        <f t="shared" si="25"/>
        <v>10634313</v>
      </c>
      <c r="BK108" s="10">
        <f t="shared" si="25"/>
        <v>29615828</v>
      </c>
      <c r="BL108" s="10">
        <f t="shared" si="25"/>
        <v>3311240</v>
      </c>
      <c r="BM108" s="10">
        <f t="shared" si="25"/>
        <v>6630198</v>
      </c>
      <c r="BN108" s="10">
        <f t="shared" si="25"/>
        <v>11810887</v>
      </c>
      <c r="BO108" s="10">
        <f t="shared" si="25"/>
        <v>21987479</v>
      </c>
      <c r="BP108" s="10">
        <f t="shared" si="25"/>
        <v>33700</v>
      </c>
      <c r="BQ108" s="10">
        <f t="shared" si="25"/>
        <v>189700</v>
      </c>
      <c r="BR108" s="85">
        <f t="shared" si="22"/>
        <v>45460980</v>
      </c>
      <c r="BS108" s="85">
        <f t="shared" si="23"/>
        <v>95841562</v>
      </c>
    </row>
    <row r="109" spans="1:71" x14ac:dyDescent="0.25">
      <c r="A109" s="26" t="s">
        <v>289</v>
      </c>
      <c r="B109" s="10">
        <f t="shared" si="20"/>
        <v>0</v>
      </c>
      <c r="C109" s="10">
        <f t="shared" si="20"/>
        <v>0</v>
      </c>
      <c r="D109" s="10">
        <f t="shared" si="20"/>
        <v>0</v>
      </c>
      <c r="E109" s="10">
        <f t="shared" si="20"/>
        <v>0</v>
      </c>
      <c r="F109" s="10">
        <f t="shared" si="20"/>
        <v>0</v>
      </c>
      <c r="G109" s="10">
        <f t="shared" si="20"/>
        <v>5779</v>
      </c>
      <c r="H109" s="10">
        <f t="shared" si="20"/>
        <v>0</v>
      </c>
      <c r="I109" s="10">
        <f t="shared" si="20"/>
        <v>0</v>
      </c>
      <c r="J109" s="10">
        <f t="shared" si="20"/>
        <v>13</v>
      </c>
      <c r="K109" s="10">
        <f t="shared" si="20"/>
        <v>13</v>
      </c>
      <c r="L109" s="10">
        <f t="shared" si="20"/>
        <v>0</v>
      </c>
      <c r="M109" s="10">
        <f t="shared" si="20"/>
        <v>-1</v>
      </c>
      <c r="N109" s="10">
        <f t="shared" si="20"/>
        <v>0</v>
      </c>
      <c r="O109" s="10">
        <f t="shared" si="20"/>
        <v>0</v>
      </c>
      <c r="P109" s="10">
        <f t="shared" si="20"/>
        <v>0</v>
      </c>
      <c r="Q109" s="10">
        <f t="shared" si="20"/>
        <v>0</v>
      </c>
      <c r="R109" s="10">
        <f t="shared" ref="R109:BQ109" si="26">R120-R87-R76-R65-R43-R32-R21-R10-R54-R98</f>
        <v>0</v>
      </c>
      <c r="S109" s="10">
        <f t="shared" si="26"/>
        <v>0</v>
      </c>
      <c r="T109" s="10">
        <f t="shared" si="26"/>
        <v>0</v>
      </c>
      <c r="U109" s="10">
        <f t="shared" si="26"/>
        <v>0</v>
      </c>
      <c r="V109" s="10">
        <f t="shared" si="26"/>
        <v>0</v>
      </c>
      <c r="W109" s="10">
        <f t="shared" si="26"/>
        <v>0</v>
      </c>
      <c r="X109" s="10">
        <f t="shared" si="26"/>
        <v>1</v>
      </c>
      <c r="Y109" s="10">
        <f t="shared" si="26"/>
        <v>1</v>
      </c>
      <c r="Z109" s="10">
        <f t="shared" si="26"/>
        <v>2</v>
      </c>
      <c r="AA109" s="10">
        <f t="shared" si="26"/>
        <v>0</v>
      </c>
      <c r="AB109" s="10">
        <f t="shared" si="26"/>
        <v>0</v>
      </c>
      <c r="AC109" s="10">
        <f t="shared" si="26"/>
        <v>0</v>
      </c>
      <c r="AD109" s="10">
        <f t="shared" si="26"/>
        <v>0</v>
      </c>
      <c r="AE109" s="10">
        <f t="shared" si="26"/>
        <v>0</v>
      </c>
      <c r="AF109" s="10">
        <f t="shared" si="26"/>
        <v>0</v>
      </c>
      <c r="AG109" s="10">
        <f t="shared" si="26"/>
        <v>-48</v>
      </c>
      <c r="AH109" s="10">
        <f t="shared" si="26"/>
        <v>-1</v>
      </c>
      <c r="AI109" s="10">
        <f t="shared" si="26"/>
        <v>0</v>
      </c>
      <c r="AJ109" s="10">
        <f t="shared" si="26"/>
        <v>0</v>
      </c>
      <c r="AK109" s="10">
        <f t="shared" si="26"/>
        <v>0</v>
      </c>
      <c r="AL109" s="10">
        <f t="shared" si="26"/>
        <v>0</v>
      </c>
      <c r="AM109" s="10">
        <f t="shared" si="26"/>
        <v>0</v>
      </c>
      <c r="AN109" s="10">
        <f t="shared" si="26"/>
        <v>0</v>
      </c>
      <c r="AO109" s="10">
        <f t="shared" si="26"/>
        <v>0</v>
      </c>
      <c r="AP109" s="10">
        <f t="shared" si="26"/>
        <v>27172.589000000022</v>
      </c>
      <c r="AQ109" s="10">
        <f t="shared" si="26"/>
        <v>96703.652999999933</v>
      </c>
      <c r="AR109" s="10">
        <f t="shared" si="26"/>
        <v>19799</v>
      </c>
      <c r="AS109" s="10">
        <f t="shared" si="26"/>
        <v>145775</v>
      </c>
      <c r="AT109" s="10">
        <f t="shared" si="26"/>
        <v>-127443</v>
      </c>
      <c r="AU109" s="10">
        <f t="shared" si="26"/>
        <v>387124</v>
      </c>
      <c r="AV109" s="10">
        <f t="shared" si="26"/>
        <v>360</v>
      </c>
      <c r="AW109" s="10">
        <f t="shared" si="26"/>
        <v>2199</v>
      </c>
      <c r="AX109" s="10">
        <f t="shared" si="26"/>
        <v>2</v>
      </c>
      <c r="AY109" s="10">
        <f t="shared" si="26"/>
        <v>2</v>
      </c>
      <c r="AZ109" s="10">
        <f t="shared" si="26"/>
        <v>0</v>
      </c>
      <c r="BA109" s="10">
        <f t="shared" si="26"/>
        <v>0</v>
      </c>
      <c r="BB109" s="10">
        <f t="shared" si="26"/>
        <v>0</v>
      </c>
      <c r="BC109" s="10">
        <f t="shared" si="26"/>
        <v>0</v>
      </c>
      <c r="BD109" s="10">
        <f t="shared" si="26"/>
        <v>0</v>
      </c>
      <c r="BE109" s="10">
        <f t="shared" si="26"/>
        <v>0</v>
      </c>
      <c r="BF109" s="10">
        <f t="shared" si="26"/>
        <v>2066</v>
      </c>
      <c r="BG109" s="10">
        <f t="shared" si="26"/>
        <v>0</v>
      </c>
      <c r="BH109" s="10">
        <f t="shared" si="26"/>
        <v>-1</v>
      </c>
      <c r="BI109" s="10">
        <f t="shared" si="26"/>
        <v>-1</v>
      </c>
      <c r="BJ109" s="10">
        <f t="shared" si="26"/>
        <v>0</v>
      </c>
      <c r="BK109" s="10">
        <f t="shared" si="26"/>
        <v>0</v>
      </c>
      <c r="BL109" s="10">
        <f t="shared" si="26"/>
        <v>0</v>
      </c>
      <c r="BM109" s="10">
        <f t="shared" si="26"/>
        <v>0</v>
      </c>
      <c r="BN109" s="10">
        <f t="shared" si="26"/>
        <v>-31118</v>
      </c>
      <c r="BO109" s="10">
        <f t="shared" si="26"/>
        <v>69516</v>
      </c>
      <c r="BP109" s="10">
        <f t="shared" si="26"/>
        <v>0</v>
      </c>
      <c r="BQ109" s="10">
        <f t="shared" si="26"/>
        <v>0</v>
      </c>
      <c r="BR109" s="85">
        <f t="shared" si="22"/>
        <v>-109147.41099999998</v>
      </c>
      <c r="BS109" s="85">
        <f t="shared" si="23"/>
        <v>707062.65299999993</v>
      </c>
    </row>
    <row r="110" spans="1:71" x14ac:dyDescent="0.25">
      <c r="A110" s="26" t="s">
        <v>290</v>
      </c>
      <c r="B110" s="10">
        <f t="shared" si="20"/>
        <v>0</v>
      </c>
      <c r="C110" s="10">
        <f t="shared" si="20"/>
        <v>0</v>
      </c>
      <c r="D110" s="10">
        <f t="shared" si="20"/>
        <v>0</v>
      </c>
      <c r="E110" s="10">
        <f t="shared" si="20"/>
        <v>0</v>
      </c>
      <c r="F110" s="10">
        <f t="shared" si="20"/>
        <v>7112493</v>
      </c>
      <c r="G110" s="10">
        <f t="shared" si="20"/>
        <v>29432838</v>
      </c>
      <c r="H110" s="10">
        <f t="shared" si="20"/>
        <v>4842</v>
      </c>
      <c r="I110" s="10">
        <f t="shared" si="20"/>
        <v>18891</v>
      </c>
      <c r="J110" s="10">
        <f t="shared" si="20"/>
        <v>317337</v>
      </c>
      <c r="K110" s="10">
        <f t="shared" si="20"/>
        <v>828814</v>
      </c>
      <c r="L110" s="10">
        <f t="shared" si="20"/>
        <v>4120</v>
      </c>
      <c r="M110" s="10">
        <f t="shared" si="20"/>
        <v>11923</v>
      </c>
      <c r="N110" s="10">
        <f t="shared" si="20"/>
        <v>1823</v>
      </c>
      <c r="O110" s="10">
        <f t="shared" si="20"/>
        <v>6047</v>
      </c>
      <c r="P110" s="10">
        <f t="shared" si="20"/>
        <v>-247</v>
      </c>
      <c r="Q110" s="10">
        <f t="shared" si="20"/>
        <v>-258</v>
      </c>
      <c r="R110" s="10">
        <f t="shared" ref="R110:BQ110" si="27">R121-R88-R77-R66-R44-R33-R22-R11-R55-R99</f>
        <v>12</v>
      </c>
      <c r="S110" s="10">
        <f t="shared" si="27"/>
        <v>-1291</v>
      </c>
      <c r="T110" s="10">
        <f t="shared" si="27"/>
        <v>461105.2</v>
      </c>
      <c r="U110" s="10">
        <f t="shared" si="27"/>
        <v>869699.8</v>
      </c>
      <c r="V110" s="10">
        <f t="shared" si="27"/>
        <v>25579</v>
      </c>
      <c r="W110" s="10">
        <f t="shared" si="27"/>
        <v>103764</v>
      </c>
      <c r="X110" s="10">
        <f t="shared" si="27"/>
        <v>842</v>
      </c>
      <c r="Y110" s="10">
        <f t="shared" si="27"/>
        <v>1976</v>
      </c>
      <c r="Z110" s="10">
        <f t="shared" si="27"/>
        <v>-129633</v>
      </c>
      <c r="AA110" s="10">
        <f t="shared" si="27"/>
        <v>-782284</v>
      </c>
      <c r="AB110" s="10">
        <f t="shared" si="27"/>
        <v>690101</v>
      </c>
      <c r="AC110" s="10">
        <f t="shared" si="27"/>
        <v>1195779</v>
      </c>
      <c r="AD110" s="10">
        <f t="shared" si="27"/>
        <v>899352</v>
      </c>
      <c r="AE110" s="10">
        <f t="shared" si="27"/>
        <v>1121358</v>
      </c>
      <c r="AF110" s="10">
        <f t="shared" si="27"/>
        <v>518</v>
      </c>
      <c r="AG110" s="10">
        <f t="shared" si="27"/>
        <v>-60321</v>
      </c>
      <c r="AH110" s="10">
        <f t="shared" si="27"/>
        <v>9045</v>
      </c>
      <c r="AI110" s="10">
        <f t="shared" si="27"/>
        <v>22365</v>
      </c>
      <c r="AJ110" s="10">
        <f t="shared" si="27"/>
        <v>-409</v>
      </c>
      <c r="AK110" s="10">
        <f t="shared" si="27"/>
        <v>-1894</v>
      </c>
      <c r="AL110" s="10">
        <f t="shared" si="27"/>
        <v>0</v>
      </c>
      <c r="AM110" s="10">
        <f t="shared" si="27"/>
        <v>0</v>
      </c>
      <c r="AN110" s="10">
        <f t="shared" si="27"/>
        <v>0</v>
      </c>
      <c r="AO110" s="10">
        <f t="shared" si="27"/>
        <v>0</v>
      </c>
      <c r="AP110" s="10">
        <f t="shared" si="27"/>
        <v>211057.38965600345</v>
      </c>
      <c r="AQ110" s="10">
        <f t="shared" si="27"/>
        <v>9109.9076559953392</v>
      </c>
      <c r="AR110" s="10">
        <f t="shared" si="27"/>
        <v>324739</v>
      </c>
      <c r="AS110" s="10">
        <f t="shared" si="27"/>
        <v>445707</v>
      </c>
      <c r="AT110" s="10">
        <f t="shared" si="27"/>
        <v>8844340</v>
      </c>
      <c r="AU110" s="10">
        <f t="shared" si="27"/>
        <v>16413429</v>
      </c>
      <c r="AV110" s="10">
        <f t="shared" si="27"/>
        <v>842</v>
      </c>
      <c r="AW110" s="10">
        <f t="shared" si="27"/>
        <v>2225</v>
      </c>
      <c r="AX110" s="10">
        <f t="shared" si="27"/>
        <v>5847</v>
      </c>
      <c r="AY110" s="10">
        <f t="shared" si="27"/>
        <v>40295</v>
      </c>
      <c r="AZ110" s="10">
        <f t="shared" si="27"/>
        <v>0</v>
      </c>
      <c r="BA110" s="10">
        <f t="shared" si="27"/>
        <v>0</v>
      </c>
      <c r="BB110" s="10">
        <f t="shared" si="27"/>
        <v>0</v>
      </c>
      <c r="BC110" s="10">
        <f t="shared" si="27"/>
        <v>0</v>
      </c>
      <c r="BD110" s="10">
        <f t="shared" si="27"/>
        <v>-3071</v>
      </c>
      <c r="BE110" s="10">
        <f t="shared" si="27"/>
        <v>-21104</v>
      </c>
      <c r="BF110" s="10">
        <f t="shared" si="27"/>
        <v>18474</v>
      </c>
      <c r="BG110" s="10">
        <f t="shared" si="27"/>
        <v>80680</v>
      </c>
      <c r="BH110" s="10">
        <f t="shared" si="27"/>
        <v>6024</v>
      </c>
      <c r="BI110" s="10">
        <f t="shared" si="27"/>
        <v>504595</v>
      </c>
      <c r="BJ110" s="10">
        <f t="shared" si="27"/>
        <v>2538169</v>
      </c>
      <c r="BK110" s="10">
        <f t="shared" si="27"/>
        <v>7030233</v>
      </c>
      <c r="BL110" s="10">
        <f t="shared" si="27"/>
        <v>3182576</v>
      </c>
      <c r="BM110" s="10">
        <f t="shared" si="27"/>
        <v>4111262</v>
      </c>
      <c r="BN110" s="10">
        <f t="shared" si="27"/>
        <v>7452484</v>
      </c>
      <c r="BO110" s="10">
        <f t="shared" si="27"/>
        <v>14895569</v>
      </c>
      <c r="BP110" s="10">
        <f t="shared" si="27"/>
        <v>8294</v>
      </c>
      <c r="BQ110" s="10">
        <f t="shared" si="27"/>
        <v>34995</v>
      </c>
      <c r="BR110" s="85">
        <f t="shared" si="22"/>
        <v>31986655.589656003</v>
      </c>
      <c r="BS110" s="85">
        <f t="shared" si="23"/>
        <v>76314402.707655996</v>
      </c>
    </row>
    <row r="111" spans="1:71" x14ac:dyDescent="0.25">
      <c r="A111" s="26" t="s">
        <v>286</v>
      </c>
      <c r="B111" s="10">
        <f t="shared" si="20"/>
        <v>0</v>
      </c>
      <c r="C111" s="10">
        <f t="shared" si="20"/>
        <v>0</v>
      </c>
      <c r="D111" s="10">
        <f t="shared" si="20"/>
        <v>0</v>
      </c>
      <c r="E111" s="10">
        <f t="shared" si="20"/>
        <v>0</v>
      </c>
      <c r="F111" s="10">
        <f t="shared" si="20"/>
        <v>1123083</v>
      </c>
      <c r="G111" s="10">
        <f t="shared" si="20"/>
        <v>17555726</v>
      </c>
      <c r="H111" s="10">
        <f t="shared" si="20"/>
        <v>21424</v>
      </c>
      <c r="I111" s="10">
        <f t="shared" si="20"/>
        <v>114249</v>
      </c>
      <c r="J111" s="10">
        <f t="shared" si="20"/>
        <v>369170</v>
      </c>
      <c r="K111" s="10">
        <f t="shared" si="20"/>
        <v>1328302</v>
      </c>
      <c r="L111" s="10">
        <f t="shared" si="20"/>
        <v>29788</v>
      </c>
      <c r="M111" s="10">
        <f t="shared" si="20"/>
        <v>76257</v>
      </c>
      <c r="N111" s="10">
        <f t="shared" si="20"/>
        <v>36037</v>
      </c>
      <c r="O111" s="10">
        <f t="shared" si="20"/>
        <v>110096</v>
      </c>
      <c r="P111" s="10">
        <f t="shared" si="20"/>
        <v>9403</v>
      </c>
      <c r="Q111" s="10">
        <f t="shared" si="20"/>
        <v>15632</v>
      </c>
      <c r="R111" s="10">
        <f t="shared" ref="R111:BQ111" si="28">R122-R89-R78-R67-R45-R34-R23-R12-R56-R100</f>
        <v>59</v>
      </c>
      <c r="S111" s="10">
        <f t="shared" si="28"/>
        <v>462</v>
      </c>
      <c r="T111" s="10">
        <f t="shared" si="28"/>
        <v>2590564.83</v>
      </c>
      <c r="U111" s="10">
        <f t="shared" si="28"/>
        <v>4495413.62</v>
      </c>
      <c r="V111" s="10">
        <f t="shared" si="28"/>
        <v>166309</v>
      </c>
      <c r="W111" s="10">
        <f t="shared" si="28"/>
        <v>298893</v>
      </c>
      <c r="X111" s="10">
        <f t="shared" si="28"/>
        <v>19535</v>
      </c>
      <c r="Y111" s="10">
        <f t="shared" si="28"/>
        <v>40541</v>
      </c>
      <c r="Z111" s="10">
        <f t="shared" si="28"/>
        <v>358195</v>
      </c>
      <c r="AA111" s="10">
        <f t="shared" si="28"/>
        <v>1008127</v>
      </c>
      <c r="AB111" s="10">
        <f t="shared" si="28"/>
        <v>403692</v>
      </c>
      <c r="AC111" s="10">
        <f t="shared" si="28"/>
        <v>1310024</v>
      </c>
      <c r="AD111" s="10">
        <f t="shared" si="28"/>
        <v>183114</v>
      </c>
      <c r="AE111" s="10">
        <f t="shared" si="28"/>
        <v>626975</v>
      </c>
      <c r="AF111" s="10">
        <f t="shared" si="28"/>
        <v>3229</v>
      </c>
      <c r="AG111" s="10">
        <f t="shared" si="28"/>
        <v>-942891</v>
      </c>
      <c r="AH111" s="10">
        <f t="shared" si="28"/>
        <v>3675</v>
      </c>
      <c r="AI111" s="10">
        <f t="shared" si="28"/>
        <v>115513</v>
      </c>
      <c r="AJ111" s="10">
        <f t="shared" si="28"/>
        <v>4705</v>
      </c>
      <c r="AK111" s="10">
        <f t="shared" si="28"/>
        <v>9764</v>
      </c>
      <c r="AL111" s="10">
        <f t="shared" si="28"/>
        <v>0</v>
      </c>
      <c r="AM111" s="10">
        <f t="shared" si="28"/>
        <v>0</v>
      </c>
      <c r="AN111" s="10">
        <f t="shared" si="28"/>
        <v>0</v>
      </c>
      <c r="AO111" s="10">
        <f t="shared" si="28"/>
        <v>1</v>
      </c>
      <c r="AP111" s="10">
        <f t="shared" si="28"/>
        <v>510415.5413805237</v>
      </c>
      <c r="AQ111" s="10">
        <f t="shared" si="28"/>
        <v>1253926.8909134995</v>
      </c>
      <c r="AR111" s="10">
        <f t="shared" si="28"/>
        <v>2965606</v>
      </c>
      <c r="AS111" s="10">
        <f t="shared" si="28"/>
        <v>6015310</v>
      </c>
      <c r="AT111" s="10">
        <f t="shared" si="28"/>
        <v>2593978</v>
      </c>
      <c r="AU111" s="10">
        <f t="shared" si="28"/>
        <v>5942391</v>
      </c>
      <c r="AV111" s="10">
        <f t="shared" si="28"/>
        <v>25826</v>
      </c>
      <c r="AW111" s="10">
        <f t="shared" si="28"/>
        <v>60199</v>
      </c>
      <c r="AX111" s="10">
        <f t="shared" si="28"/>
        <v>119263</v>
      </c>
      <c r="AY111" s="10">
        <f t="shared" si="28"/>
        <v>292172</v>
      </c>
      <c r="AZ111" s="10">
        <f t="shared" si="28"/>
        <v>0</v>
      </c>
      <c r="BA111" s="10">
        <f t="shared" si="28"/>
        <v>0</v>
      </c>
      <c r="BB111" s="10">
        <f t="shared" si="28"/>
        <v>0</v>
      </c>
      <c r="BC111" s="10">
        <f t="shared" si="28"/>
        <v>0</v>
      </c>
      <c r="BD111" s="10">
        <f t="shared" si="28"/>
        <v>13498</v>
      </c>
      <c r="BE111" s="10">
        <f t="shared" si="28"/>
        <v>41790</v>
      </c>
      <c r="BF111" s="10">
        <f t="shared" si="28"/>
        <v>194652</v>
      </c>
      <c r="BG111" s="10">
        <f t="shared" si="28"/>
        <v>320196</v>
      </c>
      <c r="BH111" s="10">
        <f t="shared" si="28"/>
        <v>3914</v>
      </c>
      <c r="BI111" s="10">
        <f t="shared" si="28"/>
        <v>29357</v>
      </c>
      <c r="BJ111" s="10">
        <f t="shared" si="28"/>
        <v>8096144</v>
      </c>
      <c r="BK111" s="10">
        <f t="shared" si="28"/>
        <v>22585595</v>
      </c>
      <c r="BL111" s="10">
        <f t="shared" si="28"/>
        <v>128664</v>
      </c>
      <c r="BM111" s="10">
        <f t="shared" si="28"/>
        <v>2518936</v>
      </c>
      <c r="BN111" s="10">
        <f t="shared" si="28"/>
        <v>4327285</v>
      </c>
      <c r="BO111" s="10">
        <f t="shared" si="28"/>
        <v>7161426</v>
      </c>
      <c r="BP111" s="10">
        <f t="shared" si="28"/>
        <v>25406</v>
      </c>
      <c r="BQ111" s="10">
        <f t="shared" si="28"/>
        <v>154705</v>
      </c>
      <c r="BR111" s="85">
        <f>SUM(B111+D111+F111+H111+J111+L111+N111+P111+R111+T111+V111+X111+Z111+AB111+AD111+AF111+AH111+AJ111+AL111+AN111+AP111+AR111+AT111+AV111+AX111+AZ111+BB111+BD111+BF111+BH111+BJ111+BL111+BN111+BP111)</f>
        <v>24326634.371380523</v>
      </c>
      <c r="BS111" s="85">
        <f>SUM(C111+E111+G111+I111+K111+M111+O111+Q111+S111+U111+W111+Y111+AA111+AC111+AE111+AG111+AI111+AK111+AM111+AO111+AQ111+AS111+AU111+AW111+AY111+BA111+BC111+BE111+BG111+BI111+BK111+BM111+BO111+BQ111)</f>
        <v>72539088.510913491</v>
      </c>
    </row>
    <row r="112" spans="1:71" x14ac:dyDescent="0.25">
      <c r="A112" s="18"/>
    </row>
    <row r="113" spans="1:71" x14ac:dyDescent="0.25">
      <c r="A113" s="33" t="s">
        <v>55</v>
      </c>
    </row>
    <row r="114" spans="1:71" x14ac:dyDescent="0.25">
      <c r="A114" s="3" t="s">
        <v>0</v>
      </c>
      <c r="B114" s="107" t="s">
        <v>1</v>
      </c>
      <c r="C114" s="108"/>
      <c r="D114" s="107" t="s">
        <v>2</v>
      </c>
      <c r="E114" s="108"/>
      <c r="F114" s="107" t="s">
        <v>3</v>
      </c>
      <c r="G114" s="108"/>
      <c r="H114" s="107" t="s">
        <v>307</v>
      </c>
      <c r="I114" s="108"/>
      <c r="J114" s="107" t="s">
        <v>5</v>
      </c>
      <c r="K114" s="108"/>
      <c r="L114" s="107" t="s">
        <v>6</v>
      </c>
      <c r="M114" s="108"/>
      <c r="N114" s="107" t="s">
        <v>7</v>
      </c>
      <c r="O114" s="108"/>
      <c r="P114" s="107" t="s">
        <v>8</v>
      </c>
      <c r="Q114" s="108"/>
      <c r="R114" s="107" t="s">
        <v>9</v>
      </c>
      <c r="S114" s="108"/>
      <c r="T114" s="107" t="s">
        <v>10</v>
      </c>
      <c r="U114" s="108"/>
      <c r="V114" s="107" t="s">
        <v>11</v>
      </c>
      <c r="W114" s="108"/>
      <c r="X114" s="107" t="s">
        <v>12</v>
      </c>
      <c r="Y114" s="108"/>
      <c r="Z114" s="107" t="s">
        <v>13</v>
      </c>
      <c r="AA114" s="108"/>
      <c r="AB114" s="107" t="s">
        <v>14</v>
      </c>
      <c r="AC114" s="108"/>
      <c r="AD114" s="107" t="s">
        <v>15</v>
      </c>
      <c r="AE114" s="108"/>
      <c r="AF114" s="107" t="s">
        <v>16</v>
      </c>
      <c r="AG114" s="108"/>
      <c r="AH114" s="107" t="s">
        <v>17</v>
      </c>
      <c r="AI114" s="108"/>
      <c r="AJ114" s="107" t="s">
        <v>18</v>
      </c>
      <c r="AK114" s="108"/>
      <c r="AL114" s="107" t="s">
        <v>296</v>
      </c>
      <c r="AM114" s="108"/>
      <c r="AN114" s="107" t="s">
        <v>19</v>
      </c>
      <c r="AO114" s="108"/>
      <c r="AP114" s="107" t="s">
        <v>20</v>
      </c>
      <c r="AQ114" s="108"/>
      <c r="AR114" s="107" t="s">
        <v>21</v>
      </c>
      <c r="AS114" s="108"/>
      <c r="AT114" s="107" t="s">
        <v>22</v>
      </c>
      <c r="AU114" s="108"/>
      <c r="AV114" s="107" t="s">
        <v>23</v>
      </c>
      <c r="AW114" s="108"/>
      <c r="AX114" s="107" t="s">
        <v>24</v>
      </c>
      <c r="AY114" s="108"/>
      <c r="AZ114" s="107" t="s">
        <v>25</v>
      </c>
      <c r="BA114" s="108"/>
      <c r="BB114" s="107" t="s">
        <v>26</v>
      </c>
      <c r="BC114" s="108"/>
      <c r="BD114" s="107" t="s">
        <v>27</v>
      </c>
      <c r="BE114" s="108"/>
      <c r="BF114" s="107" t="s">
        <v>28</v>
      </c>
      <c r="BG114" s="108"/>
      <c r="BH114" s="107" t="s">
        <v>29</v>
      </c>
      <c r="BI114" s="108"/>
      <c r="BJ114" s="107" t="s">
        <v>30</v>
      </c>
      <c r="BK114" s="108"/>
      <c r="BL114" s="107" t="s">
        <v>31</v>
      </c>
      <c r="BM114" s="108"/>
      <c r="BN114" s="111" t="s">
        <v>32</v>
      </c>
      <c r="BO114" s="112"/>
      <c r="BP114" s="107" t="s">
        <v>33</v>
      </c>
      <c r="BQ114" s="108"/>
      <c r="BR114" s="109" t="s">
        <v>34</v>
      </c>
      <c r="BS114" s="110"/>
    </row>
    <row r="115" spans="1:71" ht="30" x14ac:dyDescent="0.25">
      <c r="A115" s="3"/>
      <c r="B115" s="66" t="s">
        <v>294</v>
      </c>
      <c r="C115" s="67" t="s">
        <v>295</v>
      </c>
      <c r="D115" s="66" t="s">
        <v>294</v>
      </c>
      <c r="E115" s="67" t="s">
        <v>295</v>
      </c>
      <c r="F115" s="66" t="s">
        <v>294</v>
      </c>
      <c r="G115" s="67" t="s">
        <v>295</v>
      </c>
      <c r="H115" s="66" t="s">
        <v>294</v>
      </c>
      <c r="I115" s="67" t="s">
        <v>295</v>
      </c>
      <c r="J115" s="66" t="s">
        <v>294</v>
      </c>
      <c r="K115" s="67" t="s">
        <v>295</v>
      </c>
      <c r="L115" s="66" t="s">
        <v>294</v>
      </c>
      <c r="M115" s="67" t="s">
        <v>295</v>
      </c>
      <c r="N115" s="66" t="s">
        <v>294</v>
      </c>
      <c r="O115" s="67" t="s">
        <v>295</v>
      </c>
      <c r="P115" s="66" t="s">
        <v>294</v>
      </c>
      <c r="Q115" s="67" t="s">
        <v>295</v>
      </c>
      <c r="R115" s="66" t="s">
        <v>294</v>
      </c>
      <c r="S115" s="67" t="s">
        <v>295</v>
      </c>
      <c r="T115" s="66" t="s">
        <v>294</v>
      </c>
      <c r="U115" s="67" t="s">
        <v>295</v>
      </c>
      <c r="V115" s="66" t="s">
        <v>294</v>
      </c>
      <c r="W115" s="67" t="s">
        <v>295</v>
      </c>
      <c r="X115" s="66" t="s">
        <v>294</v>
      </c>
      <c r="Y115" s="67" t="s">
        <v>295</v>
      </c>
      <c r="Z115" s="66" t="s">
        <v>294</v>
      </c>
      <c r="AA115" s="67" t="s">
        <v>295</v>
      </c>
      <c r="AB115" s="66" t="s">
        <v>294</v>
      </c>
      <c r="AC115" s="67" t="s">
        <v>295</v>
      </c>
      <c r="AD115" s="66" t="s">
        <v>294</v>
      </c>
      <c r="AE115" s="67" t="s">
        <v>295</v>
      </c>
      <c r="AF115" s="66" t="s">
        <v>294</v>
      </c>
      <c r="AG115" s="67" t="s">
        <v>295</v>
      </c>
      <c r="AH115" s="66" t="s">
        <v>294</v>
      </c>
      <c r="AI115" s="67" t="s">
        <v>295</v>
      </c>
      <c r="AJ115" s="66" t="s">
        <v>294</v>
      </c>
      <c r="AK115" s="67" t="s">
        <v>295</v>
      </c>
      <c r="AL115" s="66" t="s">
        <v>294</v>
      </c>
      <c r="AM115" s="67" t="s">
        <v>295</v>
      </c>
      <c r="AN115" s="66" t="s">
        <v>294</v>
      </c>
      <c r="AO115" s="67" t="s">
        <v>295</v>
      </c>
      <c r="AP115" s="66" t="s">
        <v>294</v>
      </c>
      <c r="AQ115" s="67" t="s">
        <v>295</v>
      </c>
      <c r="AR115" s="66" t="s">
        <v>294</v>
      </c>
      <c r="AS115" s="67" t="s">
        <v>295</v>
      </c>
      <c r="AT115" s="66" t="s">
        <v>294</v>
      </c>
      <c r="AU115" s="67" t="s">
        <v>295</v>
      </c>
      <c r="AV115" s="66" t="s">
        <v>294</v>
      </c>
      <c r="AW115" s="67" t="s">
        <v>295</v>
      </c>
      <c r="AX115" s="66" t="s">
        <v>294</v>
      </c>
      <c r="AY115" s="67" t="s">
        <v>295</v>
      </c>
      <c r="AZ115" s="66" t="s">
        <v>294</v>
      </c>
      <c r="BA115" s="67" t="s">
        <v>295</v>
      </c>
      <c r="BB115" s="66" t="s">
        <v>294</v>
      </c>
      <c r="BC115" s="67" t="s">
        <v>295</v>
      </c>
      <c r="BD115" s="66" t="s">
        <v>294</v>
      </c>
      <c r="BE115" s="67" t="s">
        <v>295</v>
      </c>
      <c r="BF115" s="66" t="s">
        <v>294</v>
      </c>
      <c r="BG115" s="67" t="s">
        <v>295</v>
      </c>
      <c r="BH115" s="66" t="s">
        <v>294</v>
      </c>
      <c r="BI115" s="67" t="s">
        <v>295</v>
      </c>
      <c r="BJ115" s="66" t="s">
        <v>294</v>
      </c>
      <c r="BK115" s="67" t="s">
        <v>295</v>
      </c>
      <c r="BL115" s="66" t="s">
        <v>294</v>
      </c>
      <c r="BM115" s="67" t="s">
        <v>295</v>
      </c>
      <c r="BN115" s="66" t="s">
        <v>294</v>
      </c>
      <c r="BO115" s="67" t="s">
        <v>295</v>
      </c>
      <c r="BP115" s="66" t="s">
        <v>294</v>
      </c>
      <c r="BQ115" s="67" t="s">
        <v>295</v>
      </c>
      <c r="BR115" s="66" t="s">
        <v>294</v>
      </c>
      <c r="BS115" s="67" t="s">
        <v>295</v>
      </c>
    </row>
    <row r="116" spans="1:71" x14ac:dyDescent="0.25">
      <c r="A116" s="26" t="s">
        <v>241</v>
      </c>
      <c r="B116" s="10">
        <v>381515</v>
      </c>
      <c r="C116" s="10">
        <v>815078</v>
      </c>
      <c r="D116" s="10">
        <v>830140</v>
      </c>
      <c r="E116" s="10">
        <v>2192763</v>
      </c>
      <c r="F116" s="10">
        <v>9456969</v>
      </c>
      <c r="G116" s="10">
        <v>39261660</v>
      </c>
      <c r="H116" s="10">
        <v>4177956</v>
      </c>
      <c r="I116" s="10">
        <v>11363252</v>
      </c>
      <c r="J116" s="10">
        <v>18501359</v>
      </c>
      <c r="K116" s="10">
        <v>49324090</v>
      </c>
      <c r="L116" s="10">
        <v>3607790</v>
      </c>
      <c r="M116" s="10">
        <v>10239188</v>
      </c>
      <c r="N116" s="10">
        <v>6430053</v>
      </c>
      <c r="O116" s="10">
        <v>18151595</v>
      </c>
      <c r="P116" s="10">
        <v>102732</v>
      </c>
      <c r="Q116" s="10">
        <v>299452</v>
      </c>
      <c r="R116" s="10">
        <v>186083</v>
      </c>
      <c r="S116" s="10">
        <v>401833</v>
      </c>
      <c r="T116" s="10">
        <v>1579617.9</v>
      </c>
      <c r="U116" s="10">
        <v>2987014.67</v>
      </c>
      <c r="V116" s="10">
        <v>4302702</v>
      </c>
      <c r="W116" s="10">
        <v>10016454</v>
      </c>
      <c r="X116" s="10">
        <v>802009</v>
      </c>
      <c r="Y116" s="10">
        <v>1856245</v>
      </c>
      <c r="Z116" s="10">
        <v>9409918</v>
      </c>
      <c r="AA116" s="10">
        <v>29387210</v>
      </c>
      <c r="AB116" s="10">
        <v>19868098</v>
      </c>
      <c r="AC116" s="10">
        <v>54668023</v>
      </c>
      <c r="AD116" s="10">
        <v>11953597</v>
      </c>
      <c r="AE116" s="10">
        <v>35901165</v>
      </c>
      <c r="AF116" s="10">
        <v>277497</v>
      </c>
      <c r="AG116" s="10">
        <v>277497</v>
      </c>
      <c r="AH116" s="10">
        <v>1731353</v>
      </c>
      <c r="AI116" s="10">
        <v>4566915</v>
      </c>
      <c r="AJ116" s="10">
        <v>727326</v>
      </c>
      <c r="AK116" s="10">
        <v>2229815</v>
      </c>
      <c r="AL116" s="10">
        <v>850635</v>
      </c>
      <c r="AM116" s="10">
        <v>2272984</v>
      </c>
      <c r="AN116" s="10">
        <v>1453447</v>
      </c>
      <c r="AO116" s="10">
        <v>3596850</v>
      </c>
      <c r="AP116" s="10">
        <v>30443739.908000004</v>
      </c>
      <c r="AQ116" s="10">
        <v>88342861.932000011</v>
      </c>
      <c r="AR116" s="10">
        <v>54633771</v>
      </c>
      <c r="AS116" s="10">
        <v>157325703</v>
      </c>
      <c r="AT116" s="10">
        <v>25849940</v>
      </c>
      <c r="AU116" s="10">
        <v>92183781</v>
      </c>
      <c r="AV116" s="10">
        <v>39938</v>
      </c>
      <c r="AW116" s="10">
        <v>101076</v>
      </c>
      <c r="AX116" s="10">
        <v>8574982</v>
      </c>
      <c r="AY116" s="10">
        <v>28038179</v>
      </c>
      <c r="AZ116" s="10"/>
      <c r="BA116" s="10"/>
      <c r="BB116" s="10">
        <v>3680611</v>
      </c>
      <c r="BC116" s="10">
        <v>9908699</v>
      </c>
      <c r="BD116" s="10">
        <v>4399489</v>
      </c>
      <c r="BE116" s="10">
        <v>15376756</v>
      </c>
      <c r="BF116" s="10">
        <v>9959706</v>
      </c>
      <c r="BG116" s="10">
        <v>22478797</v>
      </c>
      <c r="BH116" s="10">
        <v>2745215</v>
      </c>
      <c r="BI116" s="10">
        <v>8135760</v>
      </c>
      <c r="BJ116" s="10">
        <v>10613437</v>
      </c>
      <c r="BK116" s="10">
        <v>28309473</v>
      </c>
      <c r="BL116" s="10">
        <v>13132175</v>
      </c>
      <c r="BM116" s="10">
        <v>27588449</v>
      </c>
      <c r="BN116" s="10">
        <v>39064035</v>
      </c>
      <c r="BO116" s="10">
        <v>101992116</v>
      </c>
      <c r="BP116" s="10">
        <v>3308604</v>
      </c>
      <c r="BQ116" s="10">
        <v>9207333</v>
      </c>
      <c r="BR116" s="85">
        <f>SUM(B116+D116+F116+H116+J116+L116+N116+P116+R116+T116+V116+X116+Z116+AB116+AD116+AF116+AH116+AJ116+AL116+AN116+AP116+AR116+AT116+AV116+AX116+AZ116+BB116+BD116+BF116+BH116+BJ116+BL116+BN116+BP116)</f>
        <v>303076439.80800003</v>
      </c>
      <c r="BS116" s="85">
        <f>SUM(C116+E116+G116+I116+K116+M116+O116+Q116+S116+U116+W116+Y116+AA116+AC116+AE116+AG116+AI116+AK116+AM116+AO116+AQ116+AS116+AU116+AW116+AY116+BA116+BC116+BE116+BG116+BI116+BK116+BM116+BO116+BQ116)</f>
        <v>868798067.602</v>
      </c>
    </row>
    <row r="117" spans="1:71" x14ac:dyDescent="0.25">
      <c r="A117" s="10" t="s">
        <v>292</v>
      </c>
      <c r="B117" s="10">
        <v>618162</v>
      </c>
      <c r="C117" s="10">
        <v>618162</v>
      </c>
      <c r="D117" s="10">
        <v>720345</v>
      </c>
      <c r="E117" s="10">
        <v>720345</v>
      </c>
      <c r="F117" s="10"/>
      <c r="G117" s="10"/>
      <c r="H117" s="10">
        <v>2875516</v>
      </c>
      <c r="I117" s="10">
        <v>2875516</v>
      </c>
      <c r="J117" s="10">
        <v>3524485</v>
      </c>
      <c r="K117" s="10">
        <v>82272759</v>
      </c>
      <c r="L117" s="10">
        <v>1015825</v>
      </c>
      <c r="M117" s="10">
        <v>23202737</v>
      </c>
      <c r="N117" s="10">
        <v>50656365</v>
      </c>
      <c r="O117" s="10">
        <v>50656365</v>
      </c>
      <c r="P117" s="10">
        <v>638807</v>
      </c>
      <c r="Q117" s="10">
        <v>638807</v>
      </c>
      <c r="R117" s="10">
        <v>358332</v>
      </c>
      <c r="S117" s="10">
        <v>358332</v>
      </c>
      <c r="T117" s="10">
        <v>1897925.28</v>
      </c>
      <c r="U117" s="10">
        <v>62136389.060000002</v>
      </c>
      <c r="V117" s="10">
        <v>20806597</v>
      </c>
      <c r="W117" s="10">
        <v>20806597</v>
      </c>
      <c r="X117" s="10">
        <v>1896842</v>
      </c>
      <c r="Y117" s="10">
        <v>7590557</v>
      </c>
      <c r="Z117" s="10">
        <v>80099327</v>
      </c>
      <c r="AA117" s="10">
        <v>80099327</v>
      </c>
      <c r="AB117" s="10">
        <v>174936538</v>
      </c>
      <c r="AC117" s="10">
        <v>174936538</v>
      </c>
      <c r="AD117" s="10">
        <v>3189154</v>
      </c>
      <c r="AE117" s="10">
        <v>50266300</v>
      </c>
      <c r="AF117" s="10">
        <v>2164879</v>
      </c>
      <c r="AG117" s="10">
        <v>2164879</v>
      </c>
      <c r="AH117" s="10">
        <v>10106315</v>
      </c>
      <c r="AI117" s="10">
        <v>10106315</v>
      </c>
      <c r="AJ117" s="10">
        <v>16688801</v>
      </c>
      <c r="AK117" s="10">
        <v>16688801</v>
      </c>
      <c r="AL117" s="10">
        <v>651380</v>
      </c>
      <c r="AM117" s="10">
        <v>651380</v>
      </c>
      <c r="AN117" s="10">
        <v>1409706</v>
      </c>
      <c r="AO117" s="10">
        <v>1409706</v>
      </c>
      <c r="AP117" s="10">
        <v>3867161.0508036935</v>
      </c>
      <c r="AQ117" s="10">
        <v>168768543.47056949</v>
      </c>
      <c r="AR117" s="10">
        <v>322503084</v>
      </c>
      <c r="AS117" s="10">
        <v>322503084</v>
      </c>
      <c r="AT117" s="10">
        <v>11070896</v>
      </c>
      <c r="AU117" s="10">
        <v>188047090</v>
      </c>
      <c r="AV117" s="10">
        <v>134889</v>
      </c>
      <c r="AW117" s="10">
        <v>1979767</v>
      </c>
      <c r="AX117" s="10">
        <v>54680876</v>
      </c>
      <c r="AY117" s="10">
        <v>54680876</v>
      </c>
      <c r="AZ117" s="10"/>
      <c r="BA117" s="10"/>
      <c r="BB117" s="10">
        <v>2412613</v>
      </c>
      <c r="BC117" s="10">
        <v>2412613</v>
      </c>
      <c r="BD117" s="10">
        <v>4777466</v>
      </c>
      <c r="BE117" s="10">
        <v>42197332</v>
      </c>
      <c r="BF117" s="10">
        <v>29988325</v>
      </c>
      <c r="BG117" s="10">
        <v>29988325</v>
      </c>
      <c r="BH117" s="10">
        <v>62060704</v>
      </c>
      <c r="BI117" s="10">
        <v>62060704</v>
      </c>
      <c r="BJ117" s="10">
        <v>5362990</v>
      </c>
      <c r="BK117" s="10">
        <v>5362990</v>
      </c>
      <c r="BL117" s="10">
        <v>934953</v>
      </c>
      <c r="BM117" s="10">
        <v>50147895</v>
      </c>
      <c r="BN117" s="10">
        <v>209426175</v>
      </c>
      <c r="BO117" s="10">
        <v>209426175</v>
      </c>
      <c r="BP117" s="10">
        <v>1951426</v>
      </c>
      <c r="BQ117" s="10">
        <v>12335311</v>
      </c>
      <c r="BR117" s="85">
        <f t="shared" ref="BR117:BR121" si="29">SUM(B117+D117+F117+H117+J117+L117+N117+P117+R117+T117+V117+X117+Z117+AB117+AD117+AF117+AH117+AJ117+AL117+AN117+AP117+AR117+AT117+AV117+AX117+AZ117+BB117+BD117+BF117+BH117+BJ117+BL117+BN117+BP117)</f>
        <v>1083426859.3308036</v>
      </c>
      <c r="BS117" s="85">
        <f t="shared" ref="BS117:BS121" si="30">SUM(C117+E117+G117+I117+K117+M117+O117+Q117+S117+U117+W117+Y117+AA117+AC117+AE117+AG117+AI117+AK117+AM117+AO117+AQ117+AS117+AU117+AW117+AY117+BA117+BC117+BE117+BG117+BI117+BK117+BM117+BO117+BQ117)</f>
        <v>1738110517.5305696</v>
      </c>
    </row>
    <row r="118" spans="1:71" x14ac:dyDescent="0.25">
      <c r="A118" s="10" t="s">
        <v>291</v>
      </c>
      <c r="B118" s="10">
        <v>526305</v>
      </c>
      <c r="C118" s="10">
        <v>216697</v>
      </c>
      <c r="D118" s="10">
        <v>699243</v>
      </c>
      <c r="E118" s="10">
        <v>508957</v>
      </c>
      <c r="F118" s="10"/>
      <c r="G118" s="10"/>
      <c r="H118" s="10">
        <v>2794863</v>
      </c>
      <c r="I118" s="10">
        <v>2166984</v>
      </c>
      <c r="J118" s="10"/>
      <c r="K118" s="10">
        <v>68470434</v>
      </c>
      <c r="L118" s="10"/>
      <c r="M118" s="10">
        <v>20331150</v>
      </c>
      <c r="N118" s="10">
        <v>48213899</v>
      </c>
      <c r="O118" s="10">
        <v>42309554</v>
      </c>
      <c r="P118" s="10">
        <v>-430278</v>
      </c>
      <c r="Q118" s="10">
        <v>-378161</v>
      </c>
      <c r="R118" s="10">
        <v>271759</v>
      </c>
      <c r="S118" s="10">
        <v>329518</v>
      </c>
      <c r="T118" s="10"/>
      <c r="U118" s="10">
        <v>58777165.600000001</v>
      </c>
      <c r="V118" s="10">
        <v>20583116</v>
      </c>
      <c r="W118" s="10">
        <v>19467986</v>
      </c>
      <c r="X118" s="10"/>
      <c r="Y118" s="10">
        <v>3429034</v>
      </c>
      <c r="Z118" s="10">
        <v>-73559501</v>
      </c>
      <c r="AA118" s="10">
        <v>-61214311</v>
      </c>
      <c r="AB118" s="10">
        <v>171184795</v>
      </c>
      <c r="AC118" s="10">
        <v>162541759</v>
      </c>
      <c r="AD118" s="10"/>
      <c r="AE118" s="10">
        <v>41759996</v>
      </c>
      <c r="AF118" s="10">
        <v>1897787</v>
      </c>
      <c r="AG118" s="10">
        <v>1897787</v>
      </c>
      <c r="AH118" s="10">
        <v>9659248</v>
      </c>
      <c r="AI118" s="10">
        <v>8491010</v>
      </c>
      <c r="AJ118" s="10">
        <v>-15136070</v>
      </c>
      <c r="AK118" s="10">
        <v>-12933748</v>
      </c>
      <c r="AL118" s="10">
        <v>614627</v>
      </c>
      <c r="AM118" s="10">
        <v>503618</v>
      </c>
      <c r="AN118" s="10">
        <v>1520890</v>
      </c>
      <c r="AO118" s="10">
        <v>1132657</v>
      </c>
      <c r="AP118" s="10">
        <v>-2.9999911785125732E-3</v>
      </c>
      <c r="AQ118" s="10">
        <v>158763727.18799993</v>
      </c>
      <c r="AR118" s="10">
        <v>279861966</v>
      </c>
      <c r="AS118" s="10">
        <v>279861966</v>
      </c>
      <c r="AT118" s="10">
        <v>0</v>
      </c>
      <c r="AU118" s="10">
        <v>177985737</v>
      </c>
      <c r="AV118" s="10"/>
      <c r="AW118" s="10">
        <v>1488355</v>
      </c>
      <c r="AX118" s="10">
        <v>51453159</v>
      </c>
      <c r="AY118" s="10">
        <v>47707437</v>
      </c>
      <c r="AZ118" s="10"/>
      <c r="BA118" s="10"/>
      <c r="BB118" s="10">
        <v>2351416</v>
      </c>
      <c r="BC118" s="10">
        <v>1647587</v>
      </c>
      <c r="BD118" s="10"/>
      <c r="BE118" s="10">
        <v>-35283992</v>
      </c>
      <c r="BF118" s="10">
        <v>27528931</v>
      </c>
      <c r="BG118" s="10">
        <v>24476341</v>
      </c>
      <c r="BH118" s="10">
        <v>61252170</v>
      </c>
      <c r="BI118" s="10">
        <v>57984359</v>
      </c>
      <c r="BJ118" s="10">
        <v>5342114</v>
      </c>
      <c r="BK118" s="10">
        <v>4056636</v>
      </c>
      <c r="BL118" s="10"/>
      <c r="BM118" s="10">
        <v>40006024</v>
      </c>
      <c r="BN118" s="10">
        <v>207208147</v>
      </c>
      <c r="BO118" s="10">
        <v>182761597</v>
      </c>
      <c r="BP118" s="10"/>
      <c r="BQ118" s="10">
        <v>9367099</v>
      </c>
      <c r="BR118" s="85">
        <f t="shared" si="29"/>
        <v>803838585.99699998</v>
      </c>
      <c r="BS118" s="85">
        <f t="shared" si="30"/>
        <v>1308630959.7880001</v>
      </c>
    </row>
    <row r="119" spans="1:71" x14ac:dyDescent="0.25">
      <c r="A119" s="26" t="s">
        <v>306</v>
      </c>
      <c r="B119" s="10"/>
      <c r="C119" s="10"/>
      <c r="D119" s="10"/>
      <c r="E119" s="10"/>
      <c r="F119" s="10"/>
      <c r="G119" s="10"/>
      <c r="H119" s="10">
        <v>4258609</v>
      </c>
      <c r="I119" s="10">
        <v>12071784</v>
      </c>
      <c r="J119" s="10">
        <v>22025844</v>
      </c>
      <c r="K119" s="10">
        <v>63126415</v>
      </c>
      <c r="L119" s="10"/>
      <c r="M119" s="10"/>
      <c r="N119" s="10">
        <v>8872519</v>
      </c>
      <c r="O119" s="10">
        <v>26498406</v>
      </c>
      <c r="P119" s="10">
        <v>311261</v>
      </c>
      <c r="Q119" s="10">
        <v>560098</v>
      </c>
      <c r="R119" s="10">
        <v>272656</v>
      </c>
      <c r="S119" s="10">
        <v>430647</v>
      </c>
      <c r="T119" s="10"/>
      <c r="U119" s="10"/>
      <c r="V119" s="10"/>
      <c r="W119" s="10"/>
      <c r="X119" s="10"/>
      <c r="Y119" s="10"/>
      <c r="Z119" s="10">
        <v>15949744</v>
      </c>
      <c r="AA119" s="10">
        <v>48272226</v>
      </c>
      <c r="AB119" s="10">
        <v>23619841</v>
      </c>
      <c r="AC119" s="10">
        <v>67062802</v>
      </c>
      <c r="AD119" s="10">
        <v>15142751</v>
      </c>
      <c r="AE119" s="10">
        <v>44407469</v>
      </c>
      <c r="AF119" s="10">
        <v>544589</v>
      </c>
      <c r="AG119" s="10">
        <v>544589</v>
      </c>
      <c r="AH119" s="10">
        <v>2178419</v>
      </c>
      <c r="AI119" s="10">
        <v>6182220</v>
      </c>
      <c r="AJ119" s="10">
        <v>2280057</v>
      </c>
      <c r="AK119" s="10">
        <v>5984868</v>
      </c>
      <c r="AL119" s="10">
        <v>887388</v>
      </c>
      <c r="AM119" s="10">
        <v>2420745</v>
      </c>
      <c r="AN119" s="10">
        <v>1342264</v>
      </c>
      <c r="AO119" s="10">
        <v>3873899</v>
      </c>
      <c r="AP119" s="10"/>
      <c r="AQ119" s="10"/>
      <c r="AR119" s="10">
        <v>97274889</v>
      </c>
      <c r="AS119" s="10">
        <v>199966821</v>
      </c>
      <c r="AT119" s="10">
        <v>36938998</v>
      </c>
      <c r="AU119" s="10">
        <v>102245134</v>
      </c>
      <c r="AV119" s="10">
        <v>174828</v>
      </c>
      <c r="AW119" s="10">
        <v>592488</v>
      </c>
      <c r="AX119" s="10"/>
      <c r="AY119" s="10"/>
      <c r="AZ119" s="10"/>
      <c r="BA119" s="10"/>
      <c r="BB119" s="10">
        <v>3741808</v>
      </c>
      <c r="BC119" s="10">
        <v>10673725</v>
      </c>
      <c r="BD119" s="10">
        <v>9176956</v>
      </c>
      <c r="BE119" s="10">
        <v>22290096</v>
      </c>
      <c r="BF119" s="10"/>
      <c r="BG119" s="10"/>
      <c r="BH119" s="10"/>
      <c r="BI119" s="10"/>
      <c r="BJ119" s="10">
        <v>10634313</v>
      </c>
      <c r="BK119" s="10">
        <v>29615828</v>
      </c>
      <c r="BL119" s="10">
        <v>14067128</v>
      </c>
      <c r="BM119" s="10">
        <v>37730320</v>
      </c>
      <c r="BN119" s="10">
        <v>41282063</v>
      </c>
      <c r="BO119" s="10">
        <v>128656694</v>
      </c>
      <c r="BP119" s="10">
        <v>5260030</v>
      </c>
      <c r="BQ119" s="10">
        <v>12175545</v>
      </c>
      <c r="BR119" s="85">
        <f t="shared" si="29"/>
        <v>316236955</v>
      </c>
      <c r="BS119" s="85">
        <f t="shared" si="30"/>
        <v>825382819</v>
      </c>
    </row>
    <row r="120" spans="1:71" x14ac:dyDescent="0.25">
      <c r="A120" s="26" t="s">
        <v>289</v>
      </c>
      <c r="B120" s="10"/>
      <c r="C120" s="10"/>
      <c r="D120" s="10"/>
      <c r="E120" s="10"/>
      <c r="F120" s="10"/>
      <c r="G120" s="10">
        <v>5779</v>
      </c>
      <c r="H120" s="10"/>
      <c r="I120" s="10">
        <v>284</v>
      </c>
      <c r="J120" s="10">
        <v>2977</v>
      </c>
      <c r="K120" s="10">
        <v>40667</v>
      </c>
      <c r="L120" s="10">
        <v>18653</v>
      </c>
      <c r="M120" s="10">
        <v>49477</v>
      </c>
      <c r="N120" s="10">
        <v>-212</v>
      </c>
      <c r="O120" s="10">
        <v>-1350</v>
      </c>
      <c r="P120" s="10">
        <v>3</v>
      </c>
      <c r="Q120" s="10">
        <v>12</v>
      </c>
      <c r="R120" s="10">
        <v>27221</v>
      </c>
      <c r="S120" s="10">
        <v>52654</v>
      </c>
      <c r="T120" s="10"/>
      <c r="U120" s="10"/>
      <c r="V120" s="10">
        <v>100594</v>
      </c>
      <c r="W120" s="10">
        <v>112332</v>
      </c>
      <c r="X120" s="10">
        <v>486862</v>
      </c>
      <c r="Y120" s="10">
        <v>1520590</v>
      </c>
      <c r="Z120" s="10">
        <v>80740</v>
      </c>
      <c r="AA120" s="10">
        <v>325095</v>
      </c>
      <c r="AB120" s="10">
        <v>531137</v>
      </c>
      <c r="AC120" s="10">
        <v>1091169</v>
      </c>
      <c r="AD120" s="10">
        <v>112400</v>
      </c>
      <c r="AE120" s="10">
        <v>133734</v>
      </c>
      <c r="AF120" s="10">
        <v>14</v>
      </c>
      <c r="AG120" s="10">
        <v>14</v>
      </c>
      <c r="AH120" s="10">
        <v>27</v>
      </c>
      <c r="AI120" s="10">
        <v>5221</v>
      </c>
      <c r="AJ120" s="10">
        <v>65462</v>
      </c>
      <c r="AK120" s="10">
        <v>178209</v>
      </c>
      <c r="AL120" s="10"/>
      <c r="AM120" s="10"/>
      <c r="AN120" s="10"/>
      <c r="AO120" s="10"/>
      <c r="AP120" s="10">
        <v>172109.76899999997</v>
      </c>
      <c r="AQ120" s="10">
        <v>1157999.2179999999</v>
      </c>
      <c r="AR120" s="10">
        <v>2706592</v>
      </c>
      <c r="AS120" s="10">
        <v>8315365</v>
      </c>
      <c r="AT120" s="10">
        <v>605421</v>
      </c>
      <c r="AU120" s="10">
        <v>3182403</v>
      </c>
      <c r="AV120" s="10">
        <v>361</v>
      </c>
      <c r="AW120" s="10">
        <v>2207</v>
      </c>
      <c r="AX120" s="10">
        <v>20424</v>
      </c>
      <c r="AY120" s="10">
        <v>112197</v>
      </c>
      <c r="AZ120" s="10"/>
      <c r="BA120" s="10"/>
      <c r="BB120" s="10">
        <v>52443</v>
      </c>
      <c r="BC120" s="10">
        <v>156976</v>
      </c>
      <c r="BD120" s="10">
        <v>15920</v>
      </c>
      <c r="BE120" s="10">
        <v>32773</v>
      </c>
      <c r="BF120" s="10">
        <v>2086</v>
      </c>
      <c r="BG120" s="10">
        <v>2162</v>
      </c>
      <c r="BH120" s="10">
        <v>26</v>
      </c>
      <c r="BI120" s="10">
        <v>123</v>
      </c>
      <c r="BJ120" s="10"/>
      <c r="BK120" s="10"/>
      <c r="BL120" s="10">
        <v>36486</v>
      </c>
      <c r="BM120" s="10">
        <v>356983</v>
      </c>
      <c r="BN120" s="10">
        <v>235472</v>
      </c>
      <c r="BO120" s="10">
        <v>1705528</v>
      </c>
      <c r="BP120" s="10">
        <v>13</v>
      </c>
      <c r="BQ120" s="10">
        <v>62</v>
      </c>
      <c r="BR120" s="85">
        <f t="shared" si="29"/>
        <v>5273231.7689999994</v>
      </c>
      <c r="BS120" s="85">
        <f t="shared" si="30"/>
        <v>18538665.218000002</v>
      </c>
    </row>
    <row r="121" spans="1:71" x14ac:dyDescent="0.25">
      <c r="A121" s="26" t="s">
        <v>290</v>
      </c>
      <c r="B121" s="10">
        <v>202267</v>
      </c>
      <c r="C121" s="10">
        <v>408319</v>
      </c>
      <c r="D121" s="10">
        <v>116308</v>
      </c>
      <c r="E121" s="10">
        <v>250424</v>
      </c>
      <c r="F121" s="10">
        <v>7112493</v>
      </c>
      <c r="G121" s="10">
        <v>29432838</v>
      </c>
      <c r="H121" s="10">
        <v>624414</v>
      </c>
      <c r="I121" s="10">
        <v>1693442</v>
      </c>
      <c r="J121" s="10">
        <v>6381542</v>
      </c>
      <c r="K121" s="10">
        <v>17368080</v>
      </c>
      <c r="L121" s="10">
        <v>694412</v>
      </c>
      <c r="M121" s="10">
        <v>2567909</v>
      </c>
      <c r="N121" s="10">
        <v>2531284</v>
      </c>
      <c r="O121" s="10">
        <v>7007690</v>
      </c>
      <c r="P121" s="10">
        <v>-27110</v>
      </c>
      <c r="Q121" s="10">
        <v>-58167</v>
      </c>
      <c r="R121" s="10">
        <v>30680</v>
      </c>
      <c r="S121" s="10">
        <v>-250006</v>
      </c>
      <c r="T121" s="10">
        <v>461105.2</v>
      </c>
      <c r="U121" s="10">
        <v>869699.8</v>
      </c>
      <c r="V121" s="10">
        <v>1489530</v>
      </c>
      <c r="W121" s="10">
        <v>3127012</v>
      </c>
      <c r="X121" s="10">
        <v>403225</v>
      </c>
      <c r="Y121" s="10">
        <v>1055437</v>
      </c>
      <c r="Z121" s="10">
        <v>-3200543</v>
      </c>
      <c r="AA121" s="10">
        <v>-11819871</v>
      </c>
      <c r="AB121" s="10">
        <v>6610966</v>
      </c>
      <c r="AC121" s="10">
        <v>17933133</v>
      </c>
      <c r="AD121" s="10">
        <v>4170855</v>
      </c>
      <c r="AE121" s="10">
        <v>13613278</v>
      </c>
      <c r="AF121" s="10">
        <v>25704</v>
      </c>
      <c r="AG121" s="10">
        <v>25704</v>
      </c>
      <c r="AH121" s="10">
        <v>198041</v>
      </c>
      <c r="AI121" s="10">
        <v>468678</v>
      </c>
      <c r="AJ121" s="10">
        <v>-302651</v>
      </c>
      <c r="AK121" s="10">
        <v>-901647</v>
      </c>
      <c r="AL121" s="10">
        <v>40930</v>
      </c>
      <c r="AM121" s="10">
        <v>110296</v>
      </c>
      <c r="AN121" s="10">
        <v>214648</v>
      </c>
      <c r="AO121" s="10">
        <v>425848</v>
      </c>
      <c r="AP121" s="10">
        <v>10587478.431656003</v>
      </c>
      <c r="AQ121" s="10">
        <v>26111717.348655999</v>
      </c>
      <c r="AR121" s="10">
        <v>9929791</v>
      </c>
      <c r="AS121" s="10">
        <v>29290488</v>
      </c>
      <c r="AT121" s="10">
        <v>10380593</v>
      </c>
      <c r="AU121" s="10">
        <v>22319955</v>
      </c>
      <c r="AV121" s="10">
        <v>2932</v>
      </c>
      <c r="AW121" s="10">
        <v>6924</v>
      </c>
      <c r="AX121" s="10">
        <v>2939394</v>
      </c>
      <c r="AY121" s="10">
        <v>10248785</v>
      </c>
      <c r="AZ121" s="10"/>
      <c r="BA121" s="10"/>
      <c r="BB121" s="10">
        <v>1468743</v>
      </c>
      <c r="BC121" s="10">
        <v>4157645</v>
      </c>
      <c r="BD121" s="10">
        <v>-1164369</v>
      </c>
      <c r="BE121" s="10">
        <v>-5131360</v>
      </c>
      <c r="BF121" s="10">
        <v>5258708</v>
      </c>
      <c r="BG121" s="10">
        <v>10494263</v>
      </c>
      <c r="BH121" s="10">
        <v>235256</v>
      </c>
      <c r="BI121" s="10">
        <v>1163333</v>
      </c>
      <c r="BJ121" s="10">
        <v>2538169</v>
      </c>
      <c r="BK121" s="10">
        <v>7030233</v>
      </c>
      <c r="BL121" s="10">
        <v>5540640</v>
      </c>
      <c r="BM121" s="10">
        <v>10314496</v>
      </c>
      <c r="BN121" s="10">
        <v>10205768</v>
      </c>
      <c r="BO121" s="10">
        <v>27278499</v>
      </c>
      <c r="BP121" s="10">
        <v>1521832</v>
      </c>
      <c r="BQ121" s="10">
        <v>4171027</v>
      </c>
      <c r="BR121" s="85">
        <f t="shared" si="29"/>
        <v>87223035.631656006</v>
      </c>
      <c r="BS121" s="85">
        <f t="shared" si="30"/>
        <v>230784102.14865601</v>
      </c>
    </row>
    <row r="122" spans="1:71" x14ac:dyDescent="0.25">
      <c r="A122" s="26" t="s">
        <v>286</v>
      </c>
      <c r="B122" s="10">
        <v>271105</v>
      </c>
      <c r="C122" s="10">
        <v>808224</v>
      </c>
      <c r="D122" s="10">
        <v>734934</v>
      </c>
      <c r="E122" s="10">
        <v>2153727</v>
      </c>
      <c r="F122" s="10">
        <v>1123083</v>
      </c>
      <c r="G122" s="10">
        <v>17555726</v>
      </c>
      <c r="H122" s="10">
        <v>3634195</v>
      </c>
      <c r="I122" s="10">
        <v>10378626</v>
      </c>
      <c r="J122" s="10">
        <v>15647279</v>
      </c>
      <c r="K122" s="10">
        <v>45799002</v>
      </c>
      <c r="L122" s="10">
        <v>3947856</v>
      </c>
      <c r="M122" s="10">
        <v>10592344</v>
      </c>
      <c r="N122" s="10">
        <v>6341023</v>
      </c>
      <c r="O122" s="10">
        <v>19489366</v>
      </c>
      <c r="P122" s="10">
        <v>260267</v>
      </c>
      <c r="Q122" s="10">
        <v>530949</v>
      </c>
      <c r="R122" s="10">
        <v>269197</v>
      </c>
      <c r="S122" s="10">
        <v>733307</v>
      </c>
      <c r="T122" s="10">
        <v>2590564.83</v>
      </c>
      <c r="U122" s="10">
        <v>4495413.62</v>
      </c>
      <c r="V122" s="10">
        <v>3137248</v>
      </c>
      <c r="W122" s="10">
        <v>8340385</v>
      </c>
      <c r="X122" s="10">
        <v>2782488</v>
      </c>
      <c r="Y122" s="10">
        <v>6482921</v>
      </c>
      <c r="Z122" s="10">
        <v>8643775</v>
      </c>
      <c r="AA122" s="10">
        <v>26028153</v>
      </c>
      <c r="AB122" s="10">
        <v>17604320</v>
      </c>
      <c r="AC122" s="10">
        <v>52116529</v>
      </c>
      <c r="AD122" s="10">
        <v>11084296</v>
      </c>
      <c r="AE122" s="10">
        <v>30927925</v>
      </c>
      <c r="AF122" s="10">
        <v>518899</v>
      </c>
      <c r="AG122" s="10">
        <v>518899</v>
      </c>
      <c r="AH122" s="10">
        <v>2141795</v>
      </c>
      <c r="AI122" s="10">
        <v>6230787</v>
      </c>
      <c r="AJ122" s="10">
        <v>1566509</v>
      </c>
      <c r="AK122" s="10">
        <v>4353334</v>
      </c>
      <c r="AL122" s="10">
        <v>846458</v>
      </c>
      <c r="AM122" s="10">
        <v>2310449</v>
      </c>
      <c r="AN122" s="10">
        <v>1127615</v>
      </c>
      <c r="AO122" s="10">
        <v>3448051</v>
      </c>
      <c r="AP122" s="10">
        <v>23895532.299147688</v>
      </c>
      <c r="AQ122" s="10">
        <v>73393960.083913565</v>
      </c>
      <c r="AR122" s="10">
        <v>70416620</v>
      </c>
      <c r="AS122" s="10">
        <v>159356627</v>
      </c>
      <c r="AT122" s="10">
        <v>27163826</v>
      </c>
      <c r="AU122" s="10">
        <v>83107582</v>
      </c>
      <c r="AV122" s="10">
        <v>172257</v>
      </c>
      <c r="AW122" s="10">
        <v>587770</v>
      </c>
      <c r="AX122" s="10">
        <v>8883729</v>
      </c>
      <c r="AY122" s="10">
        <v>24875030</v>
      </c>
      <c r="AZ122" s="10"/>
      <c r="BA122" s="10"/>
      <c r="BB122" s="10">
        <v>2325508</v>
      </c>
      <c r="BC122" s="10">
        <v>6673056</v>
      </c>
      <c r="BD122" s="10">
        <v>5134112</v>
      </c>
      <c r="BE122" s="10">
        <v>14981268</v>
      </c>
      <c r="BF122" s="10">
        <v>7162478</v>
      </c>
      <c r="BG122" s="10">
        <v>17498680</v>
      </c>
      <c r="BH122" s="10">
        <v>3318519</v>
      </c>
      <c r="BI122" s="10">
        <v>11048895</v>
      </c>
      <c r="BJ122" s="10">
        <v>8096144</v>
      </c>
      <c r="BK122" s="10">
        <v>22585595</v>
      </c>
      <c r="BL122" s="10">
        <v>8562974</v>
      </c>
      <c r="BM122" s="10">
        <v>27772807</v>
      </c>
      <c r="BN122" s="10">
        <v>31311767</v>
      </c>
      <c r="BO122" s="10">
        <v>103083723</v>
      </c>
      <c r="BP122" s="10">
        <v>3738211</v>
      </c>
      <c r="BQ122" s="10">
        <v>8004580</v>
      </c>
      <c r="BR122" s="85">
        <f>SUM(B122+D122+F122+H122+J122+L122+N122+P122+R122+T122+V122+X122+Z122+AB122+AD122+AF122+AH122+AJ122+AL122+AN122+AP122+AR122+AT122+AV122+AX122+AZ122+BB122+BD122+BF122+BH122+BJ122+BL122+BN122+BP122)</f>
        <v>284454584.12914765</v>
      </c>
      <c r="BS122" s="85">
        <f>SUM(C122+E122+G122+I122+K122+M122+O122+Q122+S122+U122+W122+Y122+AA122+AC122+AE122+AG122+AI122+AK122+AM122+AO122+AQ122+AS122+AU122+AW122+AY122+BA122+BC122+BE122+BG122+BI122+BK122+BM122+BO122+BQ122)</f>
        <v>806263690.70391357</v>
      </c>
    </row>
  </sheetData>
  <mergeCells count="385">
    <mergeCell ref="BD92:BE92"/>
    <mergeCell ref="BF92:BG92"/>
    <mergeCell ref="BH92:BI92"/>
    <mergeCell ref="BJ92:BK92"/>
    <mergeCell ref="BL92:BM92"/>
    <mergeCell ref="BN92:BO92"/>
    <mergeCell ref="BP92:BQ92"/>
    <mergeCell ref="BR92:BS92"/>
    <mergeCell ref="AL92:AM92"/>
    <mergeCell ref="AN92:AO92"/>
    <mergeCell ref="AP92:AQ92"/>
    <mergeCell ref="AR92:AS92"/>
    <mergeCell ref="AT92:AU92"/>
    <mergeCell ref="AV92:AW92"/>
    <mergeCell ref="AX92:AY92"/>
    <mergeCell ref="AZ92:BA92"/>
    <mergeCell ref="BB92:BC92"/>
    <mergeCell ref="T92:U92"/>
    <mergeCell ref="V92:W92"/>
    <mergeCell ref="X92:Y92"/>
    <mergeCell ref="Z92:AA92"/>
    <mergeCell ref="AB92:AC92"/>
    <mergeCell ref="AD92:AE92"/>
    <mergeCell ref="AF92:AG92"/>
    <mergeCell ref="AH92:AI92"/>
    <mergeCell ref="AJ92:AK92"/>
    <mergeCell ref="B92:C92"/>
    <mergeCell ref="D92:E92"/>
    <mergeCell ref="F92:G92"/>
    <mergeCell ref="H92:I92"/>
    <mergeCell ref="J92:K92"/>
    <mergeCell ref="L92:M92"/>
    <mergeCell ref="N92:O92"/>
    <mergeCell ref="P92:Q92"/>
    <mergeCell ref="R92:S92"/>
    <mergeCell ref="BR114:BS114"/>
    <mergeCell ref="AV114:AW114"/>
    <mergeCell ref="AX114:AY114"/>
    <mergeCell ref="AZ114:BA114"/>
    <mergeCell ref="BB114:BC114"/>
    <mergeCell ref="BD114:BE114"/>
    <mergeCell ref="BF114:BG114"/>
    <mergeCell ref="AB114:AC114"/>
    <mergeCell ref="AD114:AE114"/>
    <mergeCell ref="AF114:AG114"/>
    <mergeCell ref="AH114:AI114"/>
    <mergeCell ref="BH114:BI114"/>
    <mergeCell ref="BJ114:BK114"/>
    <mergeCell ref="BL114:BM114"/>
    <mergeCell ref="BN114:BO114"/>
    <mergeCell ref="BP114:BQ114"/>
    <mergeCell ref="L114:M114"/>
    <mergeCell ref="N114:O114"/>
    <mergeCell ref="P114:Q114"/>
    <mergeCell ref="R114:S114"/>
    <mergeCell ref="T114:U114"/>
    <mergeCell ref="V114:W114"/>
    <mergeCell ref="BJ103:BK103"/>
    <mergeCell ref="BL103:BM103"/>
    <mergeCell ref="BN103:BO103"/>
    <mergeCell ref="AJ103:AK103"/>
    <mergeCell ref="N103:O103"/>
    <mergeCell ref="P103:Q103"/>
    <mergeCell ref="R103:S103"/>
    <mergeCell ref="T103:U103"/>
    <mergeCell ref="V103:W103"/>
    <mergeCell ref="X103:Y103"/>
    <mergeCell ref="AJ114:AK114"/>
    <mergeCell ref="AL114:AM114"/>
    <mergeCell ref="AN114:AO114"/>
    <mergeCell ref="AP114:AQ114"/>
    <mergeCell ref="AR114:AS114"/>
    <mergeCell ref="AT114:AU114"/>
    <mergeCell ref="X114:Y114"/>
    <mergeCell ref="Z114:AA114"/>
    <mergeCell ref="BP103:BQ103"/>
    <mergeCell ref="BR103:BS103"/>
    <mergeCell ref="B114:C114"/>
    <mergeCell ref="D114:E114"/>
    <mergeCell ref="F114:G114"/>
    <mergeCell ref="H114:I114"/>
    <mergeCell ref="J114:K114"/>
    <mergeCell ref="AX103:AY103"/>
    <mergeCell ref="AZ103:BA103"/>
    <mergeCell ref="BB103:BC103"/>
    <mergeCell ref="BD103:BE103"/>
    <mergeCell ref="BF103:BG103"/>
    <mergeCell ref="BH103:BI103"/>
    <mergeCell ref="AL103:AM103"/>
    <mergeCell ref="AN103:AO103"/>
    <mergeCell ref="AP103:AQ103"/>
    <mergeCell ref="AR103:AS103"/>
    <mergeCell ref="AT103:AU103"/>
    <mergeCell ref="AV103:AW103"/>
    <mergeCell ref="Z103:AA103"/>
    <mergeCell ref="AB103:AC103"/>
    <mergeCell ref="AD103:AE103"/>
    <mergeCell ref="AF103:AG103"/>
    <mergeCell ref="AH103:AI103"/>
    <mergeCell ref="B103:C103"/>
    <mergeCell ref="D103:E103"/>
    <mergeCell ref="F103:G103"/>
    <mergeCell ref="H103:I103"/>
    <mergeCell ref="J103:K103"/>
    <mergeCell ref="L103:M103"/>
    <mergeCell ref="BH81:BI81"/>
    <mergeCell ref="BJ81:BK81"/>
    <mergeCell ref="BL81:BM81"/>
    <mergeCell ref="AJ81:AK81"/>
    <mergeCell ref="AL81:AM81"/>
    <mergeCell ref="AN81:AO81"/>
    <mergeCell ref="AP81:AQ81"/>
    <mergeCell ref="AR81:AS81"/>
    <mergeCell ref="AT81:AU81"/>
    <mergeCell ref="X81:Y81"/>
    <mergeCell ref="Z81:AA81"/>
    <mergeCell ref="AB81:AC81"/>
    <mergeCell ref="AD81:AE81"/>
    <mergeCell ref="AF81:AG81"/>
    <mergeCell ref="AH81:AI81"/>
    <mergeCell ref="L81:M81"/>
    <mergeCell ref="N81:O81"/>
    <mergeCell ref="P81:Q81"/>
    <mergeCell ref="BN81:BO81"/>
    <mergeCell ref="BP81:BQ81"/>
    <mergeCell ref="BR81:BS81"/>
    <mergeCell ref="AV81:AW81"/>
    <mergeCell ref="AX81:AY81"/>
    <mergeCell ref="AZ81:BA81"/>
    <mergeCell ref="BB81:BC81"/>
    <mergeCell ref="BD81:BE81"/>
    <mergeCell ref="BF81:BG81"/>
    <mergeCell ref="R81:S81"/>
    <mergeCell ref="T81:U81"/>
    <mergeCell ref="V81:W81"/>
    <mergeCell ref="BJ70:BK70"/>
    <mergeCell ref="BL70:BM70"/>
    <mergeCell ref="BN70:BO70"/>
    <mergeCell ref="BP70:BQ70"/>
    <mergeCell ref="BR70:BS70"/>
    <mergeCell ref="B81:C81"/>
    <mergeCell ref="D81:E81"/>
    <mergeCell ref="F81:G81"/>
    <mergeCell ref="H81:I81"/>
    <mergeCell ref="J81:K81"/>
    <mergeCell ref="AX70:AY70"/>
    <mergeCell ref="AZ70:BA70"/>
    <mergeCell ref="BB70:BC70"/>
    <mergeCell ref="BD70:BE70"/>
    <mergeCell ref="BF70:BG70"/>
    <mergeCell ref="BH70:BI70"/>
    <mergeCell ref="AL70:AM70"/>
    <mergeCell ref="AN70:AO70"/>
    <mergeCell ref="AP70:AQ70"/>
    <mergeCell ref="AR70:AS70"/>
    <mergeCell ref="AT70:AU70"/>
    <mergeCell ref="AV70:AW70"/>
    <mergeCell ref="Z70:AA70"/>
    <mergeCell ref="AB70:AC70"/>
    <mergeCell ref="AD70:AE70"/>
    <mergeCell ref="AF70:AG70"/>
    <mergeCell ref="AH70:AI70"/>
    <mergeCell ref="AJ70:AK70"/>
    <mergeCell ref="N70:O70"/>
    <mergeCell ref="P70:Q70"/>
    <mergeCell ref="R70:S70"/>
    <mergeCell ref="T70:U70"/>
    <mergeCell ref="V70:W70"/>
    <mergeCell ref="X70:Y70"/>
    <mergeCell ref="B70:C70"/>
    <mergeCell ref="D70:E70"/>
    <mergeCell ref="F70:G70"/>
    <mergeCell ref="H70:I70"/>
    <mergeCell ref="J70:K70"/>
    <mergeCell ref="L70:M70"/>
    <mergeCell ref="BH59:BI59"/>
    <mergeCell ref="BJ59:BK59"/>
    <mergeCell ref="BL59:BM59"/>
    <mergeCell ref="AJ59:AK59"/>
    <mergeCell ref="AL59:AM59"/>
    <mergeCell ref="AN59:AO59"/>
    <mergeCell ref="AP59:AQ59"/>
    <mergeCell ref="AR59:AS59"/>
    <mergeCell ref="AT59:AU59"/>
    <mergeCell ref="X59:Y59"/>
    <mergeCell ref="Z59:AA59"/>
    <mergeCell ref="AB59:AC59"/>
    <mergeCell ref="AD59:AE59"/>
    <mergeCell ref="AF59:AG59"/>
    <mergeCell ref="AH59:AI59"/>
    <mergeCell ref="L59:M59"/>
    <mergeCell ref="N59:O59"/>
    <mergeCell ref="P59:Q59"/>
    <mergeCell ref="BN59:BO59"/>
    <mergeCell ref="BP59:BQ59"/>
    <mergeCell ref="BR59:BS59"/>
    <mergeCell ref="AV59:AW59"/>
    <mergeCell ref="AX59:AY59"/>
    <mergeCell ref="AZ59:BA59"/>
    <mergeCell ref="BB59:BC59"/>
    <mergeCell ref="BD59:BE59"/>
    <mergeCell ref="BF59:BG59"/>
    <mergeCell ref="R59:S59"/>
    <mergeCell ref="T59:U59"/>
    <mergeCell ref="V59:W59"/>
    <mergeCell ref="BJ48:BK48"/>
    <mergeCell ref="BL48:BM48"/>
    <mergeCell ref="BN48:BO48"/>
    <mergeCell ref="BP48:BQ48"/>
    <mergeCell ref="BR48:BS48"/>
    <mergeCell ref="B59:C59"/>
    <mergeCell ref="D59:E59"/>
    <mergeCell ref="F59:G59"/>
    <mergeCell ref="H59:I59"/>
    <mergeCell ref="J59:K59"/>
    <mergeCell ref="AX48:AY48"/>
    <mergeCell ref="AZ48:BA48"/>
    <mergeCell ref="BB48:BC48"/>
    <mergeCell ref="BD48:BE48"/>
    <mergeCell ref="BF48:BG48"/>
    <mergeCell ref="BH48:BI48"/>
    <mergeCell ref="AL48:AM48"/>
    <mergeCell ref="AN48:AO48"/>
    <mergeCell ref="AP48:AQ48"/>
    <mergeCell ref="AR48:AS48"/>
    <mergeCell ref="AT48:AU48"/>
    <mergeCell ref="AV48:AW48"/>
    <mergeCell ref="Z48:AA48"/>
    <mergeCell ref="AB48:AC48"/>
    <mergeCell ref="AD48:AE48"/>
    <mergeCell ref="AF48:AG48"/>
    <mergeCell ref="AH48:AI48"/>
    <mergeCell ref="AJ48:AK48"/>
    <mergeCell ref="N48:O48"/>
    <mergeCell ref="P48:Q48"/>
    <mergeCell ref="R48:S48"/>
    <mergeCell ref="T48:U48"/>
    <mergeCell ref="V48:W48"/>
    <mergeCell ref="X48:Y48"/>
    <mergeCell ref="B48:C48"/>
    <mergeCell ref="D48:E48"/>
    <mergeCell ref="F48:G48"/>
    <mergeCell ref="H48:I48"/>
    <mergeCell ref="J48:K48"/>
    <mergeCell ref="L48:M48"/>
    <mergeCell ref="BH37:BI37"/>
    <mergeCell ref="BJ37:BK37"/>
    <mergeCell ref="BL37:BM37"/>
    <mergeCell ref="AJ37:AK37"/>
    <mergeCell ref="AL37:AM37"/>
    <mergeCell ref="AN37:AO37"/>
    <mergeCell ref="AP37:AQ37"/>
    <mergeCell ref="AR37:AS37"/>
    <mergeCell ref="AT37:AU37"/>
    <mergeCell ref="X37:Y37"/>
    <mergeCell ref="Z37:AA37"/>
    <mergeCell ref="AB37:AC37"/>
    <mergeCell ref="AD37:AE37"/>
    <mergeCell ref="AF37:AG37"/>
    <mergeCell ref="AH37:AI37"/>
    <mergeCell ref="L37:M37"/>
    <mergeCell ref="N37:O37"/>
    <mergeCell ref="P37:Q37"/>
    <mergeCell ref="BN37:BO37"/>
    <mergeCell ref="BP37:BQ37"/>
    <mergeCell ref="BR37:BS37"/>
    <mergeCell ref="AV37:AW37"/>
    <mergeCell ref="AX37:AY37"/>
    <mergeCell ref="AZ37:BA37"/>
    <mergeCell ref="BB37:BC37"/>
    <mergeCell ref="BD37:BE37"/>
    <mergeCell ref="BF37:BG37"/>
    <mergeCell ref="R37:S37"/>
    <mergeCell ref="T37:U37"/>
    <mergeCell ref="V37:W37"/>
    <mergeCell ref="BJ26:BK26"/>
    <mergeCell ref="BL26:BM26"/>
    <mergeCell ref="BN26:BO26"/>
    <mergeCell ref="BP26:BQ26"/>
    <mergeCell ref="BR26:BS26"/>
    <mergeCell ref="B37:C37"/>
    <mergeCell ref="D37:E37"/>
    <mergeCell ref="F37:G37"/>
    <mergeCell ref="H37:I37"/>
    <mergeCell ref="J37:K37"/>
    <mergeCell ref="AX26:AY26"/>
    <mergeCell ref="AZ26:BA26"/>
    <mergeCell ref="BB26:BC26"/>
    <mergeCell ref="BD26:BE26"/>
    <mergeCell ref="BF26:BG26"/>
    <mergeCell ref="BH26:BI26"/>
    <mergeCell ref="AL26:AM26"/>
    <mergeCell ref="AN26:AO26"/>
    <mergeCell ref="AP26:AQ26"/>
    <mergeCell ref="AR26:AS26"/>
    <mergeCell ref="AT26:AU26"/>
    <mergeCell ref="AV26:AW26"/>
    <mergeCell ref="Z26:AA26"/>
    <mergeCell ref="AB26:AC26"/>
    <mergeCell ref="AD26:AE26"/>
    <mergeCell ref="AF26:AG26"/>
    <mergeCell ref="AH26:AI26"/>
    <mergeCell ref="AJ26:AK26"/>
    <mergeCell ref="N26:O26"/>
    <mergeCell ref="P26:Q26"/>
    <mergeCell ref="R26:S26"/>
    <mergeCell ref="T26:U26"/>
    <mergeCell ref="V26:W26"/>
    <mergeCell ref="X26:Y26"/>
    <mergeCell ref="B26:C26"/>
    <mergeCell ref="D26:E26"/>
    <mergeCell ref="F26:G26"/>
    <mergeCell ref="H26:I26"/>
    <mergeCell ref="J26:K26"/>
    <mergeCell ref="L26:M26"/>
    <mergeCell ref="BH15:BI15"/>
    <mergeCell ref="BJ15:BK15"/>
    <mergeCell ref="BL15:BM15"/>
    <mergeCell ref="AJ15:AK15"/>
    <mergeCell ref="AL15:AM15"/>
    <mergeCell ref="AN15:AO15"/>
    <mergeCell ref="AP15:AQ15"/>
    <mergeCell ref="AR15:AS15"/>
    <mergeCell ref="AT15:AU15"/>
    <mergeCell ref="X15:Y15"/>
    <mergeCell ref="Z15:AA15"/>
    <mergeCell ref="AB15:AC15"/>
    <mergeCell ref="AD15:AE15"/>
    <mergeCell ref="AF15:AG15"/>
    <mergeCell ref="AH15:AI15"/>
    <mergeCell ref="L15:M15"/>
    <mergeCell ref="N15:O15"/>
    <mergeCell ref="P15:Q15"/>
    <mergeCell ref="BN15:BO15"/>
    <mergeCell ref="BP15:BQ15"/>
    <mergeCell ref="BR15:BS15"/>
    <mergeCell ref="AV15:AW15"/>
    <mergeCell ref="AX15:AY15"/>
    <mergeCell ref="AZ15:BA15"/>
    <mergeCell ref="BB15:BC15"/>
    <mergeCell ref="BD15:BE15"/>
    <mergeCell ref="BF15:BG15"/>
    <mergeCell ref="R15:S15"/>
    <mergeCell ref="T15:U15"/>
    <mergeCell ref="V15:W15"/>
    <mergeCell ref="BJ4:BK4"/>
    <mergeCell ref="BL4:BM4"/>
    <mergeCell ref="BN4:BO4"/>
    <mergeCell ref="BP4:BQ4"/>
    <mergeCell ref="BR4:BS4"/>
    <mergeCell ref="B15:C15"/>
    <mergeCell ref="D15:E15"/>
    <mergeCell ref="F15:G15"/>
    <mergeCell ref="H15:I15"/>
    <mergeCell ref="J15:K15"/>
    <mergeCell ref="AX4:AY4"/>
    <mergeCell ref="AZ4:BA4"/>
    <mergeCell ref="BB4:BC4"/>
    <mergeCell ref="BD4:BE4"/>
    <mergeCell ref="BF4:BG4"/>
    <mergeCell ref="BH4:BI4"/>
    <mergeCell ref="AL4:AM4"/>
    <mergeCell ref="AN4:AO4"/>
    <mergeCell ref="AP4:AQ4"/>
    <mergeCell ref="AR4:AS4"/>
    <mergeCell ref="AT4:AU4"/>
    <mergeCell ref="B4:C4"/>
    <mergeCell ref="D4:E4"/>
    <mergeCell ref="F4:G4"/>
    <mergeCell ref="H4:I4"/>
    <mergeCell ref="J4:K4"/>
    <mergeCell ref="L4:M4"/>
    <mergeCell ref="AV4:AW4"/>
    <mergeCell ref="Z4:AA4"/>
    <mergeCell ref="AB4:AC4"/>
    <mergeCell ref="AD4:AE4"/>
    <mergeCell ref="AF4:AG4"/>
    <mergeCell ref="AH4:AI4"/>
    <mergeCell ref="AJ4:AK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89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33.140625" style="7" customWidth="1"/>
    <col min="2" max="35" width="16" style="7" customWidth="1"/>
    <col min="36" max="36" width="16" style="8" customWidth="1"/>
    <col min="37" max="71" width="16" style="7" customWidth="1"/>
    <col min="72" max="16384" width="9.140625" style="7"/>
  </cols>
  <sheetData>
    <row r="1" spans="1:71" ht="18.75" x14ac:dyDescent="0.3">
      <c r="A1" s="9" t="s">
        <v>228</v>
      </c>
    </row>
    <row r="2" spans="1:71" x14ac:dyDescent="0.25">
      <c r="A2" s="28" t="s">
        <v>47</v>
      </c>
    </row>
    <row r="3" spans="1:71" x14ac:dyDescent="0.25">
      <c r="A3" s="29" t="s">
        <v>229</v>
      </c>
    </row>
    <row r="4" spans="1:71" x14ac:dyDescent="0.25">
      <c r="A4" s="3" t="s">
        <v>0</v>
      </c>
      <c r="B4" s="107" t="s">
        <v>1</v>
      </c>
      <c r="C4" s="108"/>
      <c r="D4" s="107" t="s">
        <v>2</v>
      </c>
      <c r="E4" s="108"/>
      <c r="F4" s="107" t="s">
        <v>3</v>
      </c>
      <c r="G4" s="108"/>
      <c r="H4" s="107" t="s">
        <v>307</v>
      </c>
      <c r="I4" s="108"/>
      <c r="J4" s="107" t="s">
        <v>5</v>
      </c>
      <c r="K4" s="108"/>
      <c r="L4" s="107" t="s">
        <v>6</v>
      </c>
      <c r="M4" s="108"/>
      <c r="N4" s="107" t="s">
        <v>7</v>
      </c>
      <c r="O4" s="108"/>
      <c r="P4" s="107" t="s">
        <v>8</v>
      </c>
      <c r="Q4" s="108"/>
      <c r="R4" s="107" t="s">
        <v>9</v>
      </c>
      <c r="S4" s="108"/>
      <c r="T4" s="107" t="s">
        <v>10</v>
      </c>
      <c r="U4" s="108"/>
      <c r="V4" s="107" t="s">
        <v>11</v>
      </c>
      <c r="W4" s="108"/>
      <c r="X4" s="107" t="s">
        <v>12</v>
      </c>
      <c r="Y4" s="108"/>
      <c r="Z4" s="107" t="s">
        <v>13</v>
      </c>
      <c r="AA4" s="108"/>
      <c r="AB4" s="107" t="s">
        <v>14</v>
      </c>
      <c r="AC4" s="108"/>
      <c r="AD4" s="107" t="s">
        <v>15</v>
      </c>
      <c r="AE4" s="108"/>
      <c r="AF4" s="107" t="s">
        <v>16</v>
      </c>
      <c r="AG4" s="108"/>
      <c r="AH4" s="107" t="s">
        <v>17</v>
      </c>
      <c r="AI4" s="108"/>
      <c r="AJ4" s="107" t="s">
        <v>18</v>
      </c>
      <c r="AK4" s="108"/>
      <c r="AL4" s="107" t="s">
        <v>296</v>
      </c>
      <c r="AM4" s="108"/>
      <c r="AN4" s="107" t="s">
        <v>19</v>
      </c>
      <c r="AO4" s="108"/>
      <c r="AP4" s="107" t="s">
        <v>20</v>
      </c>
      <c r="AQ4" s="108"/>
      <c r="AR4" s="107" t="s">
        <v>21</v>
      </c>
      <c r="AS4" s="108"/>
      <c r="AT4" s="107" t="s">
        <v>22</v>
      </c>
      <c r="AU4" s="108"/>
      <c r="AV4" s="107" t="s">
        <v>23</v>
      </c>
      <c r="AW4" s="108"/>
      <c r="AX4" s="107" t="s">
        <v>24</v>
      </c>
      <c r="AY4" s="108"/>
      <c r="AZ4" s="107" t="s">
        <v>25</v>
      </c>
      <c r="BA4" s="108"/>
      <c r="BB4" s="107" t="s">
        <v>26</v>
      </c>
      <c r="BC4" s="108"/>
      <c r="BD4" s="107" t="s">
        <v>27</v>
      </c>
      <c r="BE4" s="108"/>
      <c r="BF4" s="107" t="s">
        <v>28</v>
      </c>
      <c r="BG4" s="108"/>
      <c r="BH4" s="107" t="s">
        <v>29</v>
      </c>
      <c r="BI4" s="108"/>
      <c r="BJ4" s="107" t="s">
        <v>30</v>
      </c>
      <c r="BK4" s="108"/>
      <c r="BL4" s="107" t="s">
        <v>31</v>
      </c>
      <c r="BM4" s="108"/>
      <c r="BN4" s="111" t="s">
        <v>32</v>
      </c>
      <c r="BO4" s="112"/>
      <c r="BP4" s="107" t="s">
        <v>33</v>
      </c>
      <c r="BQ4" s="108"/>
      <c r="BR4" s="109" t="s">
        <v>34</v>
      </c>
      <c r="BS4" s="110"/>
    </row>
    <row r="5" spans="1:71" ht="30" x14ac:dyDescent="0.25">
      <c r="A5" s="3"/>
      <c r="B5" s="66" t="s">
        <v>294</v>
      </c>
      <c r="C5" s="67" t="s">
        <v>295</v>
      </c>
      <c r="D5" s="66" t="s">
        <v>294</v>
      </c>
      <c r="E5" s="67" t="s">
        <v>295</v>
      </c>
      <c r="F5" s="66" t="s">
        <v>294</v>
      </c>
      <c r="G5" s="67" t="s">
        <v>295</v>
      </c>
      <c r="H5" s="66" t="s">
        <v>294</v>
      </c>
      <c r="I5" s="67" t="s">
        <v>295</v>
      </c>
      <c r="J5" s="66" t="s">
        <v>294</v>
      </c>
      <c r="K5" s="67" t="s">
        <v>295</v>
      </c>
      <c r="L5" s="66" t="s">
        <v>294</v>
      </c>
      <c r="M5" s="67" t="s">
        <v>295</v>
      </c>
      <c r="N5" s="66" t="s">
        <v>294</v>
      </c>
      <c r="O5" s="67" t="s">
        <v>295</v>
      </c>
      <c r="P5" s="66" t="s">
        <v>294</v>
      </c>
      <c r="Q5" s="67" t="s">
        <v>295</v>
      </c>
      <c r="R5" s="66" t="s">
        <v>294</v>
      </c>
      <c r="S5" s="67" t="s">
        <v>295</v>
      </c>
      <c r="T5" s="66" t="s">
        <v>294</v>
      </c>
      <c r="U5" s="67" t="s">
        <v>295</v>
      </c>
      <c r="V5" s="66" t="s">
        <v>294</v>
      </c>
      <c r="W5" s="67" t="s">
        <v>295</v>
      </c>
      <c r="X5" s="66" t="s">
        <v>294</v>
      </c>
      <c r="Y5" s="67" t="s">
        <v>295</v>
      </c>
      <c r="Z5" s="66" t="s">
        <v>294</v>
      </c>
      <c r="AA5" s="67" t="s">
        <v>295</v>
      </c>
      <c r="AB5" s="66" t="s">
        <v>294</v>
      </c>
      <c r="AC5" s="67" t="s">
        <v>295</v>
      </c>
      <c r="AD5" s="66" t="s">
        <v>294</v>
      </c>
      <c r="AE5" s="67" t="s">
        <v>295</v>
      </c>
      <c r="AF5" s="66" t="s">
        <v>294</v>
      </c>
      <c r="AG5" s="67" t="s">
        <v>295</v>
      </c>
      <c r="AH5" s="66" t="s">
        <v>294</v>
      </c>
      <c r="AI5" s="67" t="s">
        <v>295</v>
      </c>
      <c r="AJ5" s="66" t="s">
        <v>294</v>
      </c>
      <c r="AK5" s="67" t="s">
        <v>295</v>
      </c>
      <c r="AL5" s="66" t="s">
        <v>294</v>
      </c>
      <c r="AM5" s="67" t="s">
        <v>295</v>
      </c>
      <c r="AN5" s="66" t="s">
        <v>294</v>
      </c>
      <c r="AO5" s="67" t="s">
        <v>295</v>
      </c>
      <c r="AP5" s="66" t="s">
        <v>294</v>
      </c>
      <c r="AQ5" s="67" t="s">
        <v>295</v>
      </c>
      <c r="AR5" s="66" t="s">
        <v>294</v>
      </c>
      <c r="AS5" s="67" t="s">
        <v>295</v>
      </c>
      <c r="AT5" s="66" t="s">
        <v>294</v>
      </c>
      <c r="AU5" s="67" t="s">
        <v>295</v>
      </c>
      <c r="AV5" s="66" t="s">
        <v>294</v>
      </c>
      <c r="AW5" s="67" t="s">
        <v>295</v>
      </c>
      <c r="AX5" s="66" t="s">
        <v>294</v>
      </c>
      <c r="AY5" s="67" t="s">
        <v>295</v>
      </c>
      <c r="AZ5" s="66" t="s">
        <v>294</v>
      </c>
      <c r="BA5" s="67" t="s">
        <v>295</v>
      </c>
      <c r="BB5" s="66" t="s">
        <v>294</v>
      </c>
      <c r="BC5" s="67" t="s">
        <v>295</v>
      </c>
      <c r="BD5" s="66" t="s">
        <v>294</v>
      </c>
      <c r="BE5" s="67" t="s">
        <v>295</v>
      </c>
      <c r="BF5" s="66" t="s">
        <v>294</v>
      </c>
      <c r="BG5" s="67" t="s">
        <v>295</v>
      </c>
      <c r="BH5" s="66" t="s">
        <v>294</v>
      </c>
      <c r="BI5" s="67" t="s">
        <v>295</v>
      </c>
      <c r="BJ5" s="66" t="s">
        <v>294</v>
      </c>
      <c r="BK5" s="67" t="s">
        <v>295</v>
      </c>
      <c r="BL5" s="66" t="s">
        <v>294</v>
      </c>
      <c r="BM5" s="67" t="s">
        <v>295</v>
      </c>
      <c r="BN5" s="66" t="s">
        <v>294</v>
      </c>
      <c r="BO5" s="67" t="s">
        <v>295</v>
      </c>
      <c r="BP5" s="66" t="s">
        <v>294</v>
      </c>
      <c r="BQ5" s="67" t="s">
        <v>295</v>
      </c>
      <c r="BR5" s="66" t="s">
        <v>294</v>
      </c>
      <c r="BS5" s="67" t="s">
        <v>295</v>
      </c>
    </row>
    <row r="6" spans="1:71" x14ac:dyDescent="0.25">
      <c r="A6" s="30" t="s">
        <v>238</v>
      </c>
      <c r="B6" s="10"/>
      <c r="C6" s="10"/>
      <c r="D6" s="10"/>
      <c r="E6" s="10"/>
      <c r="F6" s="10"/>
      <c r="G6" s="10"/>
      <c r="H6" s="10"/>
      <c r="I6" s="10"/>
      <c r="J6" s="10">
        <v>243127</v>
      </c>
      <c r="K6" s="10">
        <v>800860</v>
      </c>
      <c r="L6" s="10">
        <v>31429</v>
      </c>
      <c r="M6" s="10">
        <v>122129</v>
      </c>
      <c r="N6" s="10">
        <v>107488</v>
      </c>
      <c r="O6" s="10">
        <v>320877</v>
      </c>
      <c r="P6" s="10">
        <v>10681</v>
      </c>
      <c r="Q6" s="10">
        <v>28486</v>
      </c>
      <c r="R6" s="10">
        <v>754</v>
      </c>
      <c r="S6" s="10">
        <v>1171</v>
      </c>
      <c r="T6" s="10"/>
      <c r="U6" s="10"/>
      <c r="V6" s="10">
        <v>72472</v>
      </c>
      <c r="W6" s="10">
        <v>228432</v>
      </c>
      <c r="X6" s="10">
        <v>-3404</v>
      </c>
      <c r="Y6" s="10">
        <v>8136</v>
      </c>
      <c r="Z6" s="10">
        <v>184024</v>
      </c>
      <c r="AA6" s="10">
        <v>672588</v>
      </c>
      <c r="AB6" s="10">
        <v>167701</v>
      </c>
      <c r="AC6" s="10">
        <v>609110</v>
      </c>
      <c r="AD6" s="10">
        <v>105547</v>
      </c>
      <c r="AE6" s="10">
        <v>359181</v>
      </c>
      <c r="AF6" s="10">
        <v>12897</v>
      </c>
      <c r="AG6" s="10">
        <v>34204</v>
      </c>
      <c r="AH6" s="10">
        <v>16850</v>
      </c>
      <c r="AI6" s="10">
        <v>55929</v>
      </c>
      <c r="AJ6" s="89">
        <v>6264</v>
      </c>
      <c r="AK6" s="10">
        <v>26880</v>
      </c>
      <c r="AL6" s="10"/>
      <c r="AM6" s="10"/>
      <c r="AN6" s="10"/>
      <c r="AO6" s="10"/>
      <c r="AP6" s="10">
        <v>165115.35800000001</v>
      </c>
      <c r="AQ6" s="10">
        <v>656891.71100000001</v>
      </c>
      <c r="AR6" s="10">
        <v>937031</v>
      </c>
      <c r="AS6" s="10">
        <v>3038780</v>
      </c>
      <c r="AT6" s="10">
        <v>287520</v>
      </c>
      <c r="AU6" s="10">
        <v>926233</v>
      </c>
      <c r="AV6" s="10">
        <v>1952</v>
      </c>
      <c r="AW6" s="10">
        <v>3546</v>
      </c>
      <c r="AX6" s="10">
        <v>101821</v>
      </c>
      <c r="AY6" s="10">
        <v>470654</v>
      </c>
      <c r="AZ6" s="10"/>
      <c r="BA6" s="10"/>
      <c r="BB6" s="10"/>
      <c r="BC6" s="10"/>
      <c r="BD6" s="10">
        <v>34211</v>
      </c>
      <c r="BE6" s="10">
        <v>191731</v>
      </c>
      <c r="BF6" s="10">
        <v>328919</v>
      </c>
      <c r="BG6" s="10">
        <v>1001226</v>
      </c>
      <c r="BH6" s="10">
        <v>11329</v>
      </c>
      <c r="BI6" s="10">
        <v>29447</v>
      </c>
      <c r="BJ6" s="10"/>
      <c r="BK6" s="10"/>
      <c r="BL6" s="10">
        <v>197190</v>
      </c>
      <c r="BM6" s="10">
        <v>681905</v>
      </c>
      <c r="BN6" s="10">
        <v>243582</v>
      </c>
      <c r="BO6" s="10">
        <v>906313</v>
      </c>
      <c r="BP6" s="10">
        <v>28888</v>
      </c>
      <c r="BQ6" s="10">
        <v>95874</v>
      </c>
      <c r="BR6" s="85">
        <f>SUM(B6+D6+F6+H6+J6+L6+N6+P6+R6+T6+V6+X6+Z6+AB6+AD6+AF6+AH6+AJ6+AL6+AN6+AP6+AR6+AT6+AV6+AX6+AZ6+BB6+BD6+BF6+BH6+BJ6+BL6+BN6+BP6)</f>
        <v>3293388.358</v>
      </c>
      <c r="BS6" s="85">
        <f>SUM(C6+E6+G6+I6+K6+M6+O6+Q6+S6+U6+W6+Y6+AA6+AC6+AE6+AG6+AI6+AK6+AM6+AO6+AQ6+AS6+AU6+AW6+AY6+BA6+BC6+BE6+BG6+BI6+BK6+BM6+BO6+BQ6)</f>
        <v>11270583.710999999</v>
      </c>
    </row>
    <row r="7" spans="1:71" x14ac:dyDescent="0.25">
      <c r="A7" s="30" t="s">
        <v>289</v>
      </c>
      <c r="B7" s="10"/>
      <c r="C7" s="10"/>
      <c r="D7" s="10"/>
      <c r="E7" s="10"/>
      <c r="F7" s="10"/>
      <c r="G7" s="10"/>
      <c r="H7" s="10"/>
      <c r="I7" s="10"/>
      <c r="J7" s="10">
        <v>7479</v>
      </c>
      <c r="K7" s="10">
        <v>34687</v>
      </c>
      <c r="L7" s="10">
        <v>1365</v>
      </c>
      <c r="M7" s="10">
        <v>10508</v>
      </c>
      <c r="N7" s="10">
        <v>419</v>
      </c>
      <c r="O7" s="10">
        <v>2287</v>
      </c>
      <c r="P7" s="10">
        <v>126</v>
      </c>
      <c r="Q7" s="10">
        <v>523</v>
      </c>
      <c r="R7" s="10">
        <v>1443</v>
      </c>
      <c r="S7" s="10">
        <v>3781</v>
      </c>
      <c r="T7" s="10"/>
      <c r="U7" s="10"/>
      <c r="V7" s="10">
        <v>2965</v>
      </c>
      <c r="W7" s="10">
        <v>24799</v>
      </c>
      <c r="X7" s="10">
        <v>54505</v>
      </c>
      <c r="Y7" s="10">
        <v>193017</v>
      </c>
      <c r="Z7" s="10">
        <v>12685</v>
      </c>
      <c r="AA7" s="10">
        <v>36722</v>
      </c>
      <c r="AB7" s="10">
        <v>17939</v>
      </c>
      <c r="AC7" s="10">
        <v>62481</v>
      </c>
      <c r="AD7" s="10">
        <v>17856</v>
      </c>
      <c r="AE7" s="10">
        <v>35549</v>
      </c>
      <c r="AF7" s="10">
        <v>107</v>
      </c>
      <c r="AG7" s="10">
        <v>585</v>
      </c>
      <c r="AH7" s="10">
        <v>223</v>
      </c>
      <c r="AI7" s="10">
        <v>1218</v>
      </c>
      <c r="AJ7" s="89">
        <v>10200</v>
      </c>
      <c r="AK7" s="10">
        <v>33975</v>
      </c>
      <c r="AL7" s="10"/>
      <c r="AM7" s="10"/>
      <c r="AN7" s="10"/>
      <c r="AO7" s="10"/>
      <c r="AP7" s="10">
        <v>21506.585999999996</v>
      </c>
      <c r="AQ7" s="10">
        <v>122411.303</v>
      </c>
      <c r="AR7" s="10">
        <v>348778</v>
      </c>
      <c r="AS7" s="10">
        <v>1294876</v>
      </c>
      <c r="AT7" s="10">
        <v>58246</v>
      </c>
      <c r="AU7" s="10">
        <v>202395</v>
      </c>
      <c r="AV7" s="10">
        <v>302</v>
      </c>
      <c r="AW7" s="10">
        <v>646</v>
      </c>
      <c r="AX7" s="10">
        <v>7088</v>
      </c>
      <c r="AY7" s="10">
        <v>18234</v>
      </c>
      <c r="AZ7" s="10"/>
      <c r="BA7" s="10"/>
      <c r="BB7" s="10"/>
      <c r="BC7" s="10"/>
      <c r="BD7" s="10">
        <v>9305</v>
      </c>
      <c r="BE7" s="10">
        <v>33613</v>
      </c>
      <c r="BF7" s="10">
        <v>1071</v>
      </c>
      <c r="BG7" s="10">
        <v>4404</v>
      </c>
      <c r="BH7" s="10">
        <v>1266</v>
      </c>
      <c r="BI7" s="10">
        <v>5198</v>
      </c>
      <c r="BJ7" s="10"/>
      <c r="BK7" s="10"/>
      <c r="BL7" s="10">
        <v>10881</v>
      </c>
      <c r="BM7" s="10">
        <v>50718</v>
      </c>
      <c r="BN7" s="10">
        <v>30723</v>
      </c>
      <c r="BO7" s="10">
        <v>203977</v>
      </c>
      <c r="BP7" s="10">
        <v>633</v>
      </c>
      <c r="BQ7" s="10">
        <v>2617</v>
      </c>
      <c r="BR7" s="85">
        <f t="shared" ref="BR7:BR9" si="0">SUM(B7+D7+F7+H7+J7+L7+N7+P7+R7+T7+V7+X7+Z7+AB7+AD7+AF7+AH7+AJ7+AL7+AN7+AP7+AR7+AT7+AV7+AX7+AZ7+BB7+BD7+BF7+BH7+BJ7+BL7+BN7+BP7)</f>
        <v>617111.58600000001</v>
      </c>
      <c r="BS7" s="85">
        <f t="shared" ref="BS7:BS9" si="1">SUM(C7+E7+G7+I7+K7+M7+O7+Q7+S7+U7+W7+Y7+AA7+AC7+AE7+AG7+AI7+AK7+AM7+AO7+AQ7+AS7+AU7+AW7+AY7+BA7+BC7+BE7+BG7+BI7+BK7+BM7+BO7+BQ7)</f>
        <v>2379221.3029999998</v>
      </c>
    </row>
    <row r="8" spans="1:71" x14ac:dyDescent="0.25">
      <c r="A8" s="30" t="s">
        <v>290</v>
      </c>
      <c r="B8" s="10"/>
      <c r="C8" s="10"/>
      <c r="D8" s="10"/>
      <c r="E8" s="10"/>
      <c r="F8" s="10"/>
      <c r="G8" s="10"/>
      <c r="H8" s="10"/>
      <c r="I8" s="10"/>
      <c r="J8" s="10">
        <v>334859</v>
      </c>
      <c r="K8" s="10">
        <v>2125670</v>
      </c>
      <c r="L8" s="10">
        <v>118216</v>
      </c>
      <c r="M8" s="10">
        <v>237603</v>
      </c>
      <c r="N8" s="10">
        <v>86676</v>
      </c>
      <c r="O8" s="10">
        <v>273059</v>
      </c>
      <c r="P8" s="10">
        <v>-23036</v>
      </c>
      <c r="Q8" s="10">
        <v>-61768</v>
      </c>
      <c r="R8" s="10">
        <v>2246</v>
      </c>
      <c r="S8" s="10">
        <v>6152</v>
      </c>
      <c r="T8" s="10"/>
      <c r="U8" s="10"/>
      <c r="V8" s="10">
        <v>68721</v>
      </c>
      <c r="W8" s="10">
        <v>177844</v>
      </c>
      <c r="X8" s="10">
        <v>65451</v>
      </c>
      <c r="Y8" s="10">
        <v>269836</v>
      </c>
      <c r="Z8" s="10">
        <v>-251948</v>
      </c>
      <c r="AA8" s="10">
        <v>-924110</v>
      </c>
      <c r="AB8" s="10">
        <v>262426</v>
      </c>
      <c r="AC8" s="10">
        <v>926510</v>
      </c>
      <c r="AD8" s="10">
        <v>177294</v>
      </c>
      <c r="AE8" s="10">
        <v>679771</v>
      </c>
      <c r="AF8" s="10">
        <v>4437</v>
      </c>
      <c r="AG8" s="10">
        <v>10895</v>
      </c>
      <c r="AH8" s="10">
        <v>13505</v>
      </c>
      <c r="AI8" s="10">
        <v>59818</v>
      </c>
      <c r="AJ8" s="89">
        <v>-25155</v>
      </c>
      <c r="AK8" s="10">
        <v>-105152</v>
      </c>
      <c r="AL8" s="10"/>
      <c r="AM8" s="10"/>
      <c r="AN8" s="10"/>
      <c r="AO8" s="10"/>
      <c r="AP8" s="10">
        <v>48479.50499999999</v>
      </c>
      <c r="AQ8" s="10">
        <v>159147.86199999999</v>
      </c>
      <c r="AR8" s="10">
        <v>-205486</v>
      </c>
      <c r="AS8" s="10">
        <v>1037775</v>
      </c>
      <c r="AT8" s="10">
        <v>86745</v>
      </c>
      <c r="AU8" s="10">
        <v>332424</v>
      </c>
      <c r="AV8" s="10">
        <v>1806</v>
      </c>
      <c r="AW8" s="10">
        <v>3886</v>
      </c>
      <c r="AX8" s="10">
        <v>141779</v>
      </c>
      <c r="AY8" s="10">
        <v>1021667</v>
      </c>
      <c r="AZ8" s="10"/>
      <c r="BA8" s="10"/>
      <c r="BB8" s="10"/>
      <c r="BC8" s="10"/>
      <c r="BD8" s="10">
        <v>-34333</v>
      </c>
      <c r="BE8" s="10">
        <v>-197715</v>
      </c>
      <c r="BF8" s="10">
        <v>557791</v>
      </c>
      <c r="BG8" s="10">
        <v>2608757</v>
      </c>
      <c r="BH8" s="10">
        <v>2896</v>
      </c>
      <c r="BI8" s="10">
        <v>8708</v>
      </c>
      <c r="BJ8" s="10"/>
      <c r="BK8" s="10"/>
      <c r="BL8" s="10">
        <v>337966</v>
      </c>
      <c r="BM8" s="10">
        <v>2029731</v>
      </c>
      <c r="BN8" s="10">
        <v>60158</v>
      </c>
      <c r="BO8" s="10">
        <v>335233</v>
      </c>
      <c r="BP8" s="10">
        <v>9759</v>
      </c>
      <c r="BQ8" s="10">
        <v>78052</v>
      </c>
      <c r="BR8" s="85">
        <f t="shared" si="0"/>
        <v>1841252.5049999999</v>
      </c>
      <c r="BS8" s="85">
        <f t="shared" si="1"/>
        <v>11093793.862</v>
      </c>
    </row>
    <row r="9" spans="1:71" x14ac:dyDescent="0.25">
      <c r="A9" s="30" t="s">
        <v>239</v>
      </c>
      <c r="B9" s="10"/>
      <c r="C9" s="10"/>
      <c r="D9" s="10"/>
      <c r="E9" s="10"/>
      <c r="F9" s="10"/>
      <c r="G9" s="10"/>
      <c r="H9" s="10"/>
      <c r="I9" s="10"/>
      <c r="J9" s="10">
        <v>-84253</v>
      </c>
      <c r="K9" s="10">
        <v>-1290123</v>
      </c>
      <c r="L9" s="10">
        <v>-85422</v>
      </c>
      <c r="M9" s="10">
        <v>-104966</v>
      </c>
      <c r="N9" s="10">
        <v>21231</v>
      </c>
      <c r="O9" s="10">
        <v>50105</v>
      </c>
      <c r="P9" s="10">
        <v>-12229</v>
      </c>
      <c r="Q9" s="10">
        <v>-32759</v>
      </c>
      <c r="R9" s="10">
        <v>-49</v>
      </c>
      <c r="S9" s="10">
        <v>-1200</v>
      </c>
      <c r="T9" s="10"/>
      <c r="U9" s="10"/>
      <c r="V9" s="10">
        <v>6716</v>
      </c>
      <c r="W9" s="10">
        <v>75386</v>
      </c>
      <c r="X9" s="10">
        <v>-14350</v>
      </c>
      <c r="Y9" s="10">
        <v>-68683</v>
      </c>
      <c r="Z9" s="10">
        <v>-55239</v>
      </c>
      <c r="AA9" s="10">
        <v>-214800</v>
      </c>
      <c r="AB9" s="10">
        <v>-76786</v>
      </c>
      <c r="AC9" s="10">
        <v>-254919</v>
      </c>
      <c r="AD9" s="10">
        <v>-53891</v>
      </c>
      <c r="AE9" s="10">
        <v>-285041</v>
      </c>
      <c r="AF9" s="10">
        <v>8567</v>
      </c>
      <c r="AG9" s="10">
        <v>23894</v>
      </c>
      <c r="AH9" s="10">
        <v>3567</v>
      </c>
      <c r="AI9" s="10">
        <v>-2672</v>
      </c>
      <c r="AJ9" s="89">
        <v>-8691</v>
      </c>
      <c r="AK9" s="10">
        <v>-44297</v>
      </c>
      <c r="AL9" s="10"/>
      <c r="AM9" s="10"/>
      <c r="AN9" s="10"/>
      <c r="AO9" s="10"/>
      <c r="AP9" s="10">
        <v>138142.43900000001</v>
      </c>
      <c r="AQ9" s="10">
        <v>620155.152</v>
      </c>
      <c r="AR9" s="10">
        <v>1491295</v>
      </c>
      <c r="AS9" s="10">
        <v>3295881</v>
      </c>
      <c r="AT9" s="10">
        <v>259021</v>
      </c>
      <c r="AU9" s="10">
        <v>796204</v>
      </c>
      <c r="AV9" s="10">
        <v>448</v>
      </c>
      <c r="AW9" s="10">
        <v>306</v>
      </c>
      <c r="AX9" s="10">
        <v>-32870</v>
      </c>
      <c r="AY9" s="10">
        <v>-532779</v>
      </c>
      <c r="AZ9" s="10"/>
      <c r="BA9" s="10"/>
      <c r="BB9" s="10"/>
      <c r="BC9" s="10"/>
      <c r="BD9" s="10">
        <v>9183</v>
      </c>
      <c r="BE9" s="10">
        <v>27629</v>
      </c>
      <c r="BF9" s="10">
        <v>-227801</v>
      </c>
      <c r="BG9" s="10">
        <v>-1603127</v>
      </c>
      <c r="BH9" s="10">
        <v>9699</v>
      </c>
      <c r="BI9" s="10">
        <v>25936</v>
      </c>
      <c r="BJ9" s="10"/>
      <c r="BK9" s="10"/>
      <c r="BL9" s="10">
        <v>-129895</v>
      </c>
      <c r="BM9" s="10">
        <v>-1297108</v>
      </c>
      <c r="BN9" s="10">
        <v>214147</v>
      </c>
      <c r="BO9" s="10">
        <v>775057</v>
      </c>
      <c r="BP9" s="10">
        <v>19762</v>
      </c>
      <c r="BQ9" s="10">
        <v>20439</v>
      </c>
      <c r="BR9" s="85">
        <f t="shared" si="0"/>
        <v>1400302.439</v>
      </c>
      <c r="BS9" s="85">
        <f t="shared" si="1"/>
        <v>-21481.848000000231</v>
      </c>
    </row>
    <row r="10" spans="1:71" x14ac:dyDescent="0.25">
      <c r="A10" s="28"/>
    </row>
    <row r="11" spans="1:71" x14ac:dyDescent="0.25">
      <c r="A11" s="29" t="s">
        <v>230</v>
      </c>
    </row>
    <row r="12" spans="1:71" x14ac:dyDescent="0.25">
      <c r="A12" s="3" t="s">
        <v>0</v>
      </c>
      <c r="B12" s="107" t="s">
        <v>1</v>
      </c>
      <c r="C12" s="108"/>
      <c r="D12" s="107" t="s">
        <v>2</v>
      </c>
      <c r="E12" s="108"/>
      <c r="F12" s="107" t="s">
        <v>3</v>
      </c>
      <c r="G12" s="108"/>
      <c r="H12" s="107" t="s">
        <v>307</v>
      </c>
      <c r="I12" s="108"/>
      <c r="J12" s="107" t="s">
        <v>5</v>
      </c>
      <c r="K12" s="108"/>
      <c r="L12" s="107" t="s">
        <v>6</v>
      </c>
      <c r="M12" s="108"/>
      <c r="N12" s="107" t="s">
        <v>7</v>
      </c>
      <c r="O12" s="108"/>
      <c r="P12" s="107" t="s">
        <v>8</v>
      </c>
      <c r="Q12" s="108"/>
      <c r="R12" s="107" t="s">
        <v>9</v>
      </c>
      <c r="S12" s="108"/>
      <c r="T12" s="107" t="s">
        <v>10</v>
      </c>
      <c r="U12" s="108"/>
      <c r="V12" s="107" t="s">
        <v>11</v>
      </c>
      <c r="W12" s="108"/>
      <c r="X12" s="107" t="s">
        <v>12</v>
      </c>
      <c r="Y12" s="108"/>
      <c r="Z12" s="107" t="s">
        <v>13</v>
      </c>
      <c r="AA12" s="108"/>
      <c r="AB12" s="107" t="s">
        <v>14</v>
      </c>
      <c r="AC12" s="108"/>
      <c r="AD12" s="107" t="s">
        <v>15</v>
      </c>
      <c r="AE12" s="108"/>
      <c r="AF12" s="107" t="s">
        <v>16</v>
      </c>
      <c r="AG12" s="108"/>
      <c r="AH12" s="107" t="s">
        <v>17</v>
      </c>
      <c r="AI12" s="108"/>
      <c r="AJ12" s="107" t="s">
        <v>18</v>
      </c>
      <c r="AK12" s="108"/>
      <c r="AL12" s="107" t="s">
        <v>296</v>
      </c>
      <c r="AM12" s="108"/>
      <c r="AN12" s="107" t="s">
        <v>19</v>
      </c>
      <c r="AO12" s="108"/>
      <c r="AP12" s="107" t="s">
        <v>20</v>
      </c>
      <c r="AQ12" s="108"/>
      <c r="AR12" s="107" t="s">
        <v>21</v>
      </c>
      <c r="AS12" s="108"/>
      <c r="AT12" s="107" t="s">
        <v>22</v>
      </c>
      <c r="AU12" s="108"/>
      <c r="AV12" s="107" t="s">
        <v>23</v>
      </c>
      <c r="AW12" s="108"/>
      <c r="AX12" s="107" t="s">
        <v>24</v>
      </c>
      <c r="AY12" s="108"/>
      <c r="AZ12" s="107" t="s">
        <v>25</v>
      </c>
      <c r="BA12" s="108"/>
      <c r="BB12" s="107" t="s">
        <v>26</v>
      </c>
      <c r="BC12" s="108"/>
      <c r="BD12" s="107" t="s">
        <v>27</v>
      </c>
      <c r="BE12" s="108"/>
      <c r="BF12" s="107" t="s">
        <v>28</v>
      </c>
      <c r="BG12" s="108"/>
      <c r="BH12" s="107" t="s">
        <v>29</v>
      </c>
      <c r="BI12" s="108"/>
      <c r="BJ12" s="107" t="s">
        <v>30</v>
      </c>
      <c r="BK12" s="108"/>
      <c r="BL12" s="107" t="s">
        <v>31</v>
      </c>
      <c r="BM12" s="108"/>
      <c r="BN12" s="111" t="s">
        <v>32</v>
      </c>
      <c r="BO12" s="112"/>
      <c r="BP12" s="107" t="s">
        <v>33</v>
      </c>
      <c r="BQ12" s="108"/>
      <c r="BR12" s="109" t="s">
        <v>34</v>
      </c>
      <c r="BS12" s="110"/>
    </row>
    <row r="13" spans="1:71" ht="30" x14ac:dyDescent="0.25">
      <c r="A13" s="3"/>
      <c r="B13" s="66" t="s">
        <v>294</v>
      </c>
      <c r="C13" s="67" t="s">
        <v>295</v>
      </c>
      <c r="D13" s="66" t="s">
        <v>294</v>
      </c>
      <c r="E13" s="67" t="s">
        <v>295</v>
      </c>
      <c r="F13" s="66" t="s">
        <v>294</v>
      </c>
      <c r="G13" s="67" t="s">
        <v>295</v>
      </c>
      <c r="H13" s="66" t="s">
        <v>294</v>
      </c>
      <c r="I13" s="67" t="s">
        <v>295</v>
      </c>
      <c r="J13" s="66" t="s">
        <v>294</v>
      </c>
      <c r="K13" s="67" t="s">
        <v>295</v>
      </c>
      <c r="L13" s="66" t="s">
        <v>294</v>
      </c>
      <c r="M13" s="67" t="s">
        <v>295</v>
      </c>
      <c r="N13" s="66" t="s">
        <v>294</v>
      </c>
      <c r="O13" s="67" t="s">
        <v>295</v>
      </c>
      <c r="P13" s="66" t="s">
        <v>294</v>
      </c>
      <c r="Q13" s="67" t="s">
        <v>295</v>
      </c>
      <c r="R13" s="66" t="s">
        <v>294</v>
      </c>
      <c r="S13" s="67" t="s">
        <v>295</v>
      </c>
      <c r="T13" s="66" t="s">
        <v>294</v>
      </c>
      <c r="U13" s="67" t="s">
        <v>295</v>
      </c>
      <c r="V13" s="66" t="s">
        <v>294</v>
      </c>
      <c r="W13" s="67" t="s">
        <v>295</v>
      </c>
      <c r="X13" s="66" t="s">
        <v>294</v>
      </c>
      <c r="Y13" s="67" t="s">
        <v>295</v>
      </c>
      <c r="Z13" s="66" t="s">
        <v>294</v>
      </c>
      <c r="AA13" s="67" t="s">
        <v>295</v>
      </c>
      <c r="AB13" s="66" t="s">
        <v>294</v>
      </c>
      <c r="AC13" s="67" t="s">
        <v>295</v>
      </c>
      <c r="AD13" s="66" t="s">
        <v>294</v>
      </c>
      <c r="AE13" s="67" t="s">
        <v>295</v>
      </c>
      <c r="AF13" s="66" t="s">
        <v>294</v>
      </c>
      <c r="AG13" s="67" t="s">
        <v>295</v>
      </c>
      <c r="AH13" s="66" t="s">
        <v>294</v>
      </c>
      <c r="AI13" s="67" t="s">
        <v>295</v>
      </c>
      <c r="AJ13" s="66" t="s">
        <v>294</v>
      </c>
      <c r="AK13" s="67" t="s">
        <v>295</v>
      </c>
      <c r="AL13" s="66" t="s">
        <v>294</v>
      </c>
      <c r="AM13" s="67" t="s">
        <v>295</v>
      </c>
      <c r="AN13" s="66" t="s">
        <v>294</v>
      </c>
      <c r="AO13" s="67" t="s">
        <v>295</v>
      </c>
      <c r="AP13" s="66" t="s">
        <v>294</v>
      </c>
      <c r="AQ13" s="67" t="s">
        <v>295</v>
      </c>
      <c r="AR13" s="66" t="s">
        <v>294</v>
      </c>
      <c r="AS13" s="67" t="s">
        <v>295</v>
      </c>
      <c r="AT13" s="66" t="s">
        <v>294</v>
      </c>
      <c r="AU13" s="67" t="s">
        <v>295</v>
      </c>
      <c r="AV13" s="66" t="s">
        <v>294</v>
      </c>
      <c r="AW13" s="67" t="s">
        <v>295</v>
      </c>
      <c r="AX13" s="66" t="s">
        <v>294</v>
      </c>
      <c r="AY13" s="67" t="s">
        <v>295</v>
      </c>
      <c r="AZ13" s="66" t="s">
        <v>294</v>
      </c>
      <c r="BA13" s="67" t="s">
        <v>295</v>
      </c>
      <c r="BB13" s="66" t="s">
        <v>294</v>
      </c>
      <c r="BC13" s="67" t="s">
        <v>295</v>
      </c>
      <c r="BD13" s="66" t="s">
        <v>294</v>
      </c>
      <c r="BE13" s="67" t="s">
        <v>295</v>
      </c>
      <c r="BF13" s="66" t="s">
        <v>294</v>
      </c>
      <c r="BG13" s="67" t="s">
        <v>295</v>
      </c>
      <c r="BH13" s="66" t="s">
        <v>294</v>
      </c>
      <c r="BI13" s="67" t="s">
        <v>295</v>
      </c>
      <c r="BJ13" s="66" t="s">
        <v>294</v>
      </c>
      <c r="BK13" s="67" t="s">
        <v>295</v>
      </c>
      <c r="BL13" s="66" t="s">
        <v>294</v>
      </c>
      <c r="BM13" s="67" t="s">
        <v>295</v>
      </c>
      <c r="BN13" s="66" t="s">
        <v>294</v>
      </c>
      <c r="BO13" s="67" t="s">
        <v>295</v>
      </c>
      <c r="BP13" s="66" t="s">
        <v>294</v>
      </c>
      <c r="BQ13" s="67" t="s">
        <v>295</v>
      </c>
      <c r="BR13" s="66" t="s">
        <v>294</v>
      </c>
      <c r="BS13" s="67" t="s">
        <v>295</v>
      </c>
    </row>
    <row r="14" spans="1:71" x14ac:dyDescent="0.25">
      <c r="A14" s="30" t="s">
        <v>238</v>
      </c>
      <c r="B14" s="10"/>
      <c r="C14" s="10"/>
      <c r="D14" s="10"/>
      <c r="E14" s="10"/>
      <c r="F14" s="10"/>
      <c r="G14" s="10"/>
      <c r="H14" s="10"/>
      <c r="I14" s="10"/>
      <c r="J14" s="10">
        <v>48767</v>
      </c>
      <c r="K14" s="10">
        <v>166568</v>
      </c>
      <c r="L14" s="10">
        <v>17318</v>
      </c>
      <c r="M14" s="10">
        <v>68976</v>
      </c>
      <c r="N14" s="10">
        <v>13932</v>
      </c>
      <c r="O14" s="10">
        <v>42397</v>
      </c>
      <c r="P14" s="10"/>
      <c r="Q14" s="10"/>
      <c r="R14" s="10">
        <v>399</v>
      </c>
      <c r="S14" s="10">
        <v>697</v>
      </c>
      <c r="T14" s="10"/>
      <c r="U14" s="10"/>
      <c r="V14" s="10">
        <v>18445</v>
      </c>
      <c r="W14" s="10">
        <v>69479</v>
      </c>
      <c r="X14" s="10">
        <v>-1</v>
      </c>
      <c r="Y14" s="10">
        <v>1325</v>
      </c>
      <c r="Z14" s="10">
        <f>1706+42554</f>
        <v>44260</v>
      </c>
      <c r="AA14" s="10">
        <f>1846+149875</f>
        <v>151721</v>
      </c>
      <c r="AB14" s="10">
        <v>83020</v>
      </c>
      <c r="AC14" s="10">
        <v>275607</v>
      </c>
      <c r="AD14" s="10">
        <v>30381</v>
      </c>
      <c r="AE14" s="10">
        <v>91342</v>
      </c>
      <c r="AF14" s="10"/>
      <c r="AG14" s="10"/>
      <c r="AH14" s="10">
        <v>9475</v>
      </c>
      <c r="AI14" s="10">
        <v>34571</v>
      </c>
      <c r="AJ14" s="89">
        <v>2965</v>
      </c>
      <c r="AK14" s="10">
        <v>10778</v>
      </c>
      <c r="AL14" s="10"/>
      <c r="AM14" s="10"/>
      <c r="AN14" s="10"/>
      <c r="AO14" s="10"/>
      <c r="AP14" s="10">
        <v>62404.998000000007</v>
      </c>
      <c r="AQ14" s="10">
        <v>166718.08900000001</v>
      </c>
      <c r="AR14" s="10">
        <f>17878+142557</f>
        <v>160435</v>
      </c>
      <c r="AS14" s="10">
        <f>77009+455531</f>
        <v>532540</v>
      </c>
      <c r="AT14" s="10">
        <v>96685</v>
      </c>
      <c r="AU14" s="10">
        <v>242383</v>
      </c>
      <c r="AV14" s="10"/>
      <c r="AW14" s="10">
        <v>-11</v>
      </c>
      <c r="AX14" s="10">
        <v>26862</v>
      </c>
      <c r="AY14" s="10">
        <v>114539</v>
      </c>
      <c r="AZ14" s="10"/>
      <c r="BA14" s="10"/>
      <c r="BB14" s="10"/>
      <c r="BC14" s="10"/>
      <c r="BD14" s="10">
        <v>14741</v>
      </c>
      <c r="BE14" s="10">
        <v>47072</v>
      </c>
      <c r="BF14" s="10">
        <v>7476</v>
      </c>
      <c r="BG14" s="10">
        <v>29543</v>
      </c>
      <c r="BH14" s="10">
        <v>376</v>
      </c>
      <c r="BI14" s="10">
        <v>1338</v>
      </c>
      <c r="BJ14" s="10"/>
      <c r="BK14" s="10"/>
      <c r="BL14" s="10">
        <v>99373</v>
      </c>
      <c r="BM14" s="10">
        <v>380964</v>
      </c>
      <c r="BN14" s="10">
        <v>56403</v>
      </c>
      <c r="BO14" s="10">
        <v>196620</v>
      </c>
      <c r="BP14" s="10">
        <v>625</v>
      </c>
      <c r="BQ14" s="10">
        <v>12818</v>
      </c>
      <c r="BR14" s="85">
        <f t="shared" ref="BR14:BR17" si="2">SUM(B14+D14+F14+H14+J14+L14+N14+P14+R14+T14+V14+X14+Z14+AB14+AD14+AF14+AH14+AJ14+AL14+AN14+AP14+AR14+AT14+AV14+AX14+AZ14+BB14+BD14+BF14+BH14+BJ14+BL14+BN14+BP14)</f>
        <v>794341.99800000002</v>
      </c>
      <c r="BS14" s="85">
        <f t="shared" ref="BS14:BS17" si="3">SUM(C14+E14+G14+I14+K14+M14+O14+Q14+S14+U14+W14+Y14+AA14+AC14+AE14+AG14+AI14+AK14+AM14+AO14+AQ14+AS14+AU14+AW14+AY14+BA14+BC14+BE14+BG14+BI14+BK14+BM14+BO14+BQ14)</f>
        <v>2637985.0889999997</v>
      </c>
    </row>
    <row r="15" spans="1:71" x14ac:dyDescent="0.25">
      <c r="A15" s="30" t="s">
        <v>289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>
        <v>129</v>
      </c>
      <c r="M15" s="10">
        <v>471</v>
      </c>
      <c r="N15" s="10"/>
      <c r="O15" s="10"/>
      <c r="P15" s="10"/>
      <c r="Q15" s="10"/>
      <c r="R15" s="10"/>
      <c r="S15" s="10"/>
      <c r="T15" s="10"/>
      <c r="U15" s="10"/>
      <c r="V15" s="10">
        <v>604</v>
      </c>
      <c r="W15" s="10">
        <v>1405</v>
      </c>
      <c r="X15" s="10">
        <v>-321</v>
      </c>
      <c r="Y15" s="10">
        <v>-232</v>
      </c>
      <c r="Z15" s="10">
        <v>529</v>
      </c>
      <c r="AA15" s="10">
        <v>3657</v>
      </c>
      <c r="AB15" s="10">
        <v>2964</v>
      </c>
      <c r="AC15" s="10">
        <v>22753</v>
      </c>
      <c r="AD15" s="10">
        <v>31</v>
      </c>
      <c r="AE15" s="10">
        <v>169</v>
      </c>
      <c r="AF15" s="10"/>
      <c r="AG15" s="10"/>
      <c r="AH15" s="10"/>
      <c r="AI15" s="10"/>
      <c r="AJ15" s="89">
        <v>572</v>
      </c>
      <c r="AK15" s="10">
        <v>3121</v>
      </c>
      <c r="AL15" s="10"/>
      <c r="AM15" s="10"/>
      <c r="AN15" s="10"/>
      <c r="AO15" s="10"/>
      <c r="AP15" s="10">
        <v>571.2619999999996</v>
      </c>
      <c r="AQ15" s="10">
        <v>4092.3449999999998</v>
      </c>
      <c r="AR15" s="10">
        <f>16614+4667</f>
        <v>21281</v>
      </c>
      <c r="AS15" s="10">
        <f>55949+22139</f>
        <v>78088</v>
      </c>
      <c r="AT15" s="10">
        <v>6006</v>
      </c>
      <c r="AU15" s="10">
        <v>26994</v>
      </c>
      <c r="AV15" s="10"/>
      <c r="AW15" s="10"/>
      <c r="AX15" s="10"/>
      <c r="AY15" s="10"/>
      <c r="AZ15" s="10"/>
      <c r="BA15" s="10"/>
      <c r="BB15" s="10"/>
      <c r="BC15" s="10"/>
      <c r="BD15" s="10">
        <v>26</v>
      </c>
      <c r="BE15" s="10">
        <v>63</v>
      </c>
      <c r="BF15" s="10"/>
      <c r="BG15" s="10"/>
      <c r="BH15" s="10"/>
      <c r="BI15" s="10"/>
      <c r="BJ15" s="10"/>
      <c r="BK15" s="10"/>
      <c r="BL15" s="10">
        <v>3308</v>
      </c>
      <c r="BM15" s="10">
        <v>12696</v>
      </c>
      <c r="BN15" s="10">
        <v>117</v>
      </c>
      <c r="BO15" s="10">
        <v>13598</v>
      </c>
      <c r="BP15" s="10"/>
      <c r="BQ15" s="10"/>
      <c r="BR15" s="85">
        <f t="shared" si="2"/>
        <v>35817.262000000002</v>
      </c>
      <c r="BS15" s="85">
        <f t="shared" si="3"/>
        <v>166875.345</v>
      </c>
    </row>
    <row r="16" spans="1:71" x14ac:dyDescent="0.25">
      <c r="A16" s="30" t="s">
        <v>290</v>
      </c>
      <c r="B16" s="10"/>
      <c r="C16" s="10"/>
      <c r="D16" s="10"/>
      <c r="E16" s="10"/>
      <c r="F16" s="10"/>
      <c r="G16" s="10"/>
      <c r="H16" s="10"/>
      <c r="I16" s="10"/>
      <c r="J16" s="10">
        <v>7951</v>
      </c>
      <c r="K16" s="10">
        <v>35188</v>
      </c>
      <c r="L16" s="10">
        <v>5248</v>
      </c>
      <c r="M16" s="10">
        <v>17974</v>
      </c>
      <c r="N16" s="10">
        <v>18872</v>
      </c>
      <c r="O16" s="10">
        <v>71948</v>
      </c>
      <c r="P16" s="10"/>
      <c r="Q16" s="10"/>
      <c r="R16" s="10">
        <v>514</v>
      </c>
      <c r="S16" s="10">
        <v>882</v>
      </c>
      <c r="T16" s="10"/>
      <c r="U16" s="10"/>
      <c r="V16" s="10">
        <v>1442</v>
      </c>
      <c r="W16" s="10">
        <v>7889</v>
      </c>
      <c r="X16" s="10">
        <v>539</v>
      </c>
      <c r="Y16" s="10">
        <v>1934</v>
      </c>
      <c r="Z16" s="10">
        <f>-4950-17188</f>
        <v>-22138</v>
      </c>
      <c r="AA16" s="10">
        <f>-2497-64271</f>
        <v>-66768</v>
      </c>
      <c r="AB16" s="10">
        <v>20628</v>
      </c>
      <c r="AC16" s="10">
        <v>55640</v>
      </c>
      <c r="AD16" s="10">
        <v>34971</v>
      </c>
      <c r="AE16" s="10">
        <v>105141</v>
      </c>
      <c r="AF16" s="10"/>
      <c r="AG16" s="10"/>
      <c r="AH16" s="10">
        <v>397</v>
      </c>
      <c r="AI16" s="10">
        <v>1530</v>
      </c>
      <c r="AJ16" s="89">
        <v>-4429</v>
      </c>
      <c r="AK16" s="10">
        <v>-18657</v>
      </c>
      <c r="AL16" s="10"/>
      <c r="AM16" s="10"/>
      <c r="AN16" s="10"/>
      <c r="AO16" s="10"/>
      <c r="AP16" s="10">
        <v>26196.602999999999</v>
      </c>
      <c r="AQ16" s="10">
        <v>78611.478000000003</v>
      </c>
      <c r="AR16" s="10">
        <f>19869+20249</f>
        <v>40118</v>
      </c>
      <c r="AS16" s="10">
        <f>69321+67367</f>
        <v>136688</v>
      </c>
      <c r="AT16" s="10">
        <v>55040</v>
      </c>
      <c r="AU16" s="10">
        <v>108096</v>
      </c>
      <c r="AV16" s="10"/>
      <c r="AW16" s="10">
        <v>1</v>
      </c>
      <c r="AX16" s="10">
        <v>14608</v>
      </c>
      <c r="AY16" s="10">
        <v>124017</v>
      </c>
      <c r="AZ16" s="10"/>
      <c r="BA16" s="10"/>
      <c r="BB16" s="10"/>
      <c r="BC16" s="10"/>
      <c r="BD16" s="10">
        <v>-6173</v>
      </c>
      <c r="BE16" s="10">
        <v>-29208</v>
      </c>
      <c r="BF16" s="10">
        <v>67</v>
      </c>
      <c r="BG16" s="10">
        <v>2059</v>
      </c>
      <c r="BH16" s="10">
        <v>60</v>
      </c>
      <c r="BI16" s="10">
        <v>281</v>
      </c>
      <c r="BJ16" s="10"/>
      <c r="BK16" s="10"/>
      <c r="BL16" s="10">
        <v>9861</v>
      </c>
      <c r="BM16" s="10">
        <v>30691</v>
      </c>
      <c r="BN16" s="10">
        <v>22668</v>
      </c>
      <c r="BO16" s="10">
        <v>56818</v>
      </c>
      <c r="BP16" s="10">
        <f>5402+2704</f>
        <v>8106</v>
      </c>
      <c r="BQ16" s="10">
        <f>9977+12917</f>
        <v>22894</v>
      </c>
      <c r="BR16" s="85">
        <f t="shared" si="2"/>
        <v>234546.603</v>
      </c>
      <c r="BS16" s="85">
        <f t="shared" si="3"/>
        <v>743649.478</v>
      </c>
    </row>
    <row r="17" spans="1:71" x14ac:dyDescent="0.25">
      <c r="A17" s="30" t="s">
        <v>239</v>
      </c>
      <c r="B17" s="10"/>
      <c r="C17" s="10"/>
      <c r="D17" s="10"/>
      <c r="E17" s="10"/>
      <c r="F17" s="10"/>
      <c r="G17" s="10"/>
      <c r="H17" s="10"/>
      <c r="I17" s="10"/>
      <c r="J17" s="10">
        <v>40816</v>
      </c>
      <c r="K17" s="10">
        <v>131380</v>
      </c>
      <c r="L17" s="10">
        <v>12199</v>
      </c>
      <c r="M17" s="10">
        <v>51473</v>
      </c>
      <c r="N17" s="10">
        <v>-4940</v>
      </c>
      <c r="O17" s="10">
        <v>-29551</v>
      </c>
      <c r="P17" s="10"/>
      <c r="Q17" s="10"/>
      <c r="R17" s="10">
        <v>-115</v>
      </c>
      <c r="S17" s="10">
        <v>-185</v>
      </c>
      <c r="T17" s="10"/>
      <c r="U17" s="10"/>
      <c r="V17" s="10">
        <v>17607</v>
      </c>
      <c r="W17" s="10">
        <v>62995</v>
      </c>
      <c r="X17" s="10">
        <v>-861</v>
      </c>
      <c r="Y17" s="10">
        <v>-841</v>
      </c>
      <c r="Z17" s="10">
        <f>-3244+25895</f>
        <v>22651</v>
      </c>
      <c r="AA17" s="10">
        <f>-651+89261</f>
        <v>88610</v>
      </c>
      <c r="AB17" s="10">
        <v>65356</v>
      </c>
      <c r="AC17" s="10">
        <v>242720</v>
      </c>
      <c r="AD17" s="10">
        <v>-4559</v>
      </c>
      <c r="AE17" s="10">
        <v>-13630</v>
      </c>
      <c r="AF17" s="10"/>
      <c r="AG17" s="10"/>
      <c r="AH17" s="10">
        <v>9078</v>
      </c>
      <c r="AI17" s="10">
        <v>33041</v>
      </c>
      <c r="AJ17" s="89">
        <v>-892</v>
      </c>
      <c r="AK17" s="10">
        <v>-4758</v>
      </c>
      <c r="AL17" s="10"/>
      <c r="AM17" s="10"/>
      <c r="AN17" s="10"/>
      <c r="AO17" s="10"/>
      <c r="AP17" s="10">
        <v>36779.657000000007</v>
      </c>
      <c r="AQ17" s="10">
        <v>92198.956000000006</v>
      </c>
      <c r="AR17" s="10">
        <f>14622+126975</f>
        <v>141597</v>
      </c>
      <c r="AS17" s="10">
        <f>63637+410304</f>
        <v>473941</v>
      </c>
      <c r="AT17" s="10">
        <v>47651</v>
      </c>
      <c r="AU17" s="10">
        <v>161281</v>
      </c>
      <c r="AV17" s="10"/>
      <c r="AW17" s="10">
        <v>-12</v>
      </c>
      <c r="AX17" s="10">
        <v>12254</v>
      </c>
      <c r="AY17" s="10">
        <v>-9478</v>
      </c>
      <c r="AZ17" s="10"/>
      <c r="BA17" s="10"/>
      <c r="BB17" s="10"/>
      <c r="BC17" s="10"/>
      <c r="BD17" s="10">
        <v>8594</v>
      </c>
      <c r="BE17" s="10">
        <v>17927</v>
      </c>
      <c r="BF17" s="10">
        <v>7409</v>
      </c>
      <c r="BG17" s="10">
        <v>27484</v>
      </c>
      <c r="BH17" s="10">
        <v>316</v>
      </c>
      <c r="BI17" s="10">
        <v>1057</v>
      </c>
      <c r="BJ17" s="10"/>
      <c r="BK17" s="10"/>
      <c r="BL17" s="10">
        <v>92820</v>
      </c>
      <c r="BM17" s="10">
        <v>362969</v>
      </c>
      <c r="BN17" s="10">
        <v>33852</v>
      </c>
      <c r="BO17" s="10">
        <v>153400</v>
      </c>
      <c r="BP17" s="10">
        <f>-5402-2079</f>
        <v>-7481</v>
      </c>
      <c r="BQ17" s="10">
        <f>-9977-99</f>
        <v>-10076</v>
      </c>
      <c r="BR17" s="85">
        <f t="shared" si="2"/>
        <v>530131.65700000001</v>
      </c>
      <c r="BS17" s="85">
        <f t="shared" si="3"/>
        <v>1831945.956</v>
      </c>
    </row>
    <row r="18" spans="1:71" x14ac:dyDescent="0.25">
      <c r="A18" s="28"/>
    </row>
    <row r="19" spans="1:71" x14ac:dyDescent="0.25">
      <c r="A19" s="29" t="s">
        <v>231</v>
      </c>
    </row>
    <row r="20" spans="1:71" x14ac:dyDescent="0.25">
      <c r="A20" s="3" t="s">
        <v>0</v>
      </c>
      <c r="B20" s="107" t="s">
        <v>1</v>
      </c>
      <c r="C20" s="108"/>
      <c r="D20" s="107" t="s">
        <v>2</v>
      </c>
      <c r="E20" s="108"/>
      <c r="F20" s="107" t="s">
        <v>3</v>
      </c>
      <c r="G20" s="108"/>
      <c r="H20" s="107" t="s">
        <v>307</v>
      </c>
      <c r="I20" s="108"/>
      <c r="J20" s="107" t="s">
        <v>5</v>
      </c>
      <c r="K20" s="108"/>
      <c r="L20" s="107" t="s">
        <v>6</v>
      </c>
      <c r="M20" s="108"/>
      <c r="N20" s="107" t="s">
        <v>7</v>
      </c>
      <c r="O20" s="108"/>
      <c r="P20" s="107" t="s">
        <v>8</v>
      </c>
      <c r="Q20" s="108"/>
      <c r="R20" s="107" t="s">
        <v>9</v>
      </c>
      <c r="S20" s="108"/>
      <c r="T20" s="107" t="s">
        <v>10</v>
      </c>
      <c r="U20" s="108"/>
      <c r="V20" s="107" t="s">
        <v>11</v>
      </c>
      <c r="W20" s="108"/>
      <c r="X20" s="107" t="s">
        <v>12</v>
      </c>
      <c r="Y20" s="108"/>
      <c r="Z20" s="107" t="s">
        <v>13</v>
      </c>
      <c r="AA20" s="108"/>
      <c r="AB20" s="107" t="s">
        <v>14</v>
      </c>
      <c r="AC20" s="108"/>
      <c r="AD20" s="107" t="s">
        <v>15</v>
      </c>
      <c r="AE20" s="108"/>
      <c r="AF20" s="107" t="s">
        <v>16</v>
      </c>
      <c r="AG20" s="108"/>
      <c r="AH20" s="107" t="s">
        <v>17</v>
      </c>
      <c r="AI20" s="108"/>
      <c r="AJ20" s="107" t="s">
        <v>18</v>
      </c>
      <c r="AK20" s="108"/>
      <c r="AL20" s="107" t="s">
        <v>296</v>
      </c>
      <c r="AM20" s="108"/>
      <c r="AN20" s="107" t="s">
        <v>19</v>
      </c>
      <c r="AO20" s="108"/>
      <c r="AP20" s="107" t="s">
        <v>20</v>
      </c>
      <c r="AQ20" s="108"/>
      <c r="AR20" s="107" t="s">
        <v>21</v>
      </c>
      <c r="AS20" s="108"/>
      <c r="AT20" s="107" t="s">
        <v>22</v>
      </c>
      <c r="AU20" s="108"/>
      <c r="AV20" s="107" t="s">
        <v>23</v>
      </c>
      <c r="AW20" s="108"/>
      <c r="AX20" s="107" t="s">
        <v>24</v>
      </c>
      <c r="AY20" s="108"/>
      <c r="AZ20" s="107" t="s">
        <v>25</v>
      </c>
      <c r="BA20" s="108"/>
      <c r="BB20" s="107" t="s">
        <v>26</v>
      </c>
      <c r="BC20" s="108"/>
      <c r="BD20" s="107" t="s">
        <v>27</v>
      </c>
      <c r="BE20" s="108"/>
      <c r="BF20" s="107" t="s">
        <v>28</v>
      </c>
      <c r="BG20" s="108"/>
      <c r="BH20" s="107" t="s">
        <v>29</v>
      </c>
      <c r="BI20" s="108"/>
      <c r="BJ20" s="107" t="s">
        <v>30</v>
      </c>
      <c r="BK20" s="108"/>
      <c r="BL20" s="107" t="s">
        <v>31</v>
      </c>
      <c r="BM20" s="108"/>
      <c r="BN20" s="111" t="s">
        <v>32</v>
      </c>
      <c r="BO20" s="112"/>
      <c r="BP20" s="107" t="s">
        <v>33</v>
      </c>
      <c r="BQ20" s="108"/>
      <c r="BR20" s="109" t="s">
        <v>34</v>
      </c>
      <c r="BS20" s="110"/>
    </row>
    <row r="21" spans="1:71" ht="30" x14ac:dyDescent="0.25">
      <c r="A21" s="3"/>
      <c r="B21" s="66" t="s">
        <v>294</v>
      </c>
      <c r="C21" s="67" t="s">
        <v>295</v>
      </c>
      <c r="D21" s="66" t="s">
        <v>294</v>
      </c>
      <c r="E21" s="67" t="s">
        <v>295</v>
      </c>
      <c r="F21" s="66" t="s">
        <v>294</v>
      </c>
      <c r="G21" s="67" t="s">
        <v>295</v>
      </c>
      <c r="H21" s="66" t="s">
        <v>294</v>
      </c>
      <c r="I21" s="67" t="s">
        <v>295</v>
      </c>
      <c r="J21" s="66" t="s">
        <v>294</v>
      </c>
      <c r="K21" s="67" t="s">
        <v>295</v>
      </c>
      <c r="L21" s="66" t="s">
        <v>294</v>
      </c>
      <c r="M21" s="67" t="s">
        <v>295</v>
      </c>
      <c r="N21" s="66" t="s">
        <v>294</v>
      </c>
      <c r="O21" s="67" t="s">
        <v>295</v>
      </c>
      <c r="P21" s="66" t="s">
        <v>294</v>
      </c>
      <c r="Q21" s="67" t="s">
        <v>295</v>
      </c>
      <c r="R21" s="66" t="s">
        <v>294</v>
      </c>
      <c r="S21" s="67" t="s">
        <v>295</v>
      </c>
      <c r="T21" s="66" t="s">
        <v>294</v>
      </c>
      <c r="U21" s="67" t="s">
        <v>295</v>
      </c>
      <c r="V21" s="66" t="s">
        <v>294</v>
      </c>
      <c r="W21" s="67" t="s">
        <v>295</v>
      </c>
      <c r="X21" s="66" t="s">
        <v>294</v>
      </c>
      <c r="Y21" s="67" t="s">
        <v>295</v>
      </c>
      <c r="Z21" s="66" t="s">
        <v>294</v>
      </c>
      <c r="AA21" s="67" t="s">
        <v>295</v>
      </c>
      <c r="AB21" s="66" t="s">
        <v>294</v>
      </c>
      <c r="AC21" s="67" t="s">
        <v>295</v>
      </c>
      <c r="AD21" s="66" t="s">
        <v>294</v>
      </c>
      <c r="AE21" s="67" t="s">
        <v>295</v>
      </c>
      <c r="AF21" s="66" t="s">
        <v>294</v>
      </c>
      <c r="AG21" s="67" t="s">
        <v>295</v>
      </c>
      <c r="AH21" s="66" t="s">
        <v>294</v>
      </c>
      <c r="AI21" s="67" t="s">
        <v>295</v>
      </c>
      <c r="AJ21" s="66" t="s">
        <v>294</v>
      </c>
      <c r="AK21" s="67" t="s">
        <v>295</v>
      </c>
      <c r="AL21" s="66" t="s">
        <v>294</v>
      </c>
      <c r="AM21" s="67" t="s">
        <v>295</v>
      </c>
      <c r="AN21" s="66" t="s">
        <v>294</v>
      </c>
      <c r="AO21" s="67" t="s">
        <v>295</v>
      </c>
      <c r="AP21" s="66" t="s">
        <v>294</v>
      </c>
      <c r="AQ21" s="67" t="s">
        <v>295</v>
      </c>
      <c r="AR21" s="66" t="s">
        <v>294</v>
      </c>
      <c r="AS21" s="67" t="s">
        <v>295</v>
      </c>
      <c r="AT21" s="66" t="s">
        <v>294</v>
      </c>
      <c r="AU21" s="67" t="s">
        <v>295</v>
      </c>
      <c r="AV21" s="66" t="s">
        <v>294</v>
      </c>
      <c r="AW21" s="67" t="s">
        <v>295</v>
      </c>
      <c r="AX21" s="66" t="s">
        <v>294</v>
      </c>
      <c r="AY21" s="67" t="s">
        <v>295</v>
      </c>
      <c r="AZ21" s="66" t="s">
        <v>294</v>
      </c>
      <c r="BA21" s="67" t="s">
        <v>295</v>
      </c>
      <c r="BB21" s="66" t="s">
        <v>294</v>
      </c>
      <c r="BC21" s="67" t="s">
        <v>295</v>
      </c>
      <c r="BD21" s="66" t="s">
        <v>294</v>
      </c>
      <c r="BE21" s="67" t="s">
        <v>295</v>
      </c>
      <c r="BF21" s="66" t="s">
        <v>294</v>
      </c>
      <c r="BG21" s="67" t="s">
        <v>295</v>
      </c>
      <c r="BH21" s="66" t="s">
        <v>294</v>
      </c>
      <c r="BI21" s="67" t="s">
        <v>295</v>
      </c>
      <c r="BJ21" s="66" t="s">
        <v>294</v>
      </c>
      <c r="BK21" s="67" t="s">
        <v>295</v>
      </c>
      <c r="BL21" s="66" t="s">
        <v>294</v>
      </c>
      <c r="BM21" s="67" t="s">
        <v>295</v>
      </c>
      <c r="BN21" s="66" t="s">
        <v>294</v>
      </c>
      <c r="BO21" s="67" t="s">
        <v>295</v>
      </c>
      <c r="BP21" s="66" t="s">
        <v>294</v>
      </c>
      <c r="BQ21" s="67" t="s">
        <v>295</v>
      </c>
      <c r="BR21" s="66" t="s">
        <v>294</v>
      </c>
      <c r="BS21" s="67" t="s">
        <v>295</v>
      </c>
    </row>
    <row r="22" spans="1:71" x14ac:dyDescent="0.25">
      <c r="A22" s="30" t="s">
        <v>238</v>
      </c>
      <c r="B22" s="10">
        <v>13408</v>
      </c>
      <c r="C22" s="10">
        <v>30237</v>
      </c>
      <c r="D22" s="10"/>
      <c r="E22" s="10"/>
      <c r="F22" s="10"/>
      <c r="G22" s="10"/>
      <c r="H22" s="10"/>
      <c r="I22" s="10"/>
      <c r="J22" s="10">
        <v>1042228</v>
      </c>
      <c r="K22" s="10">
        <v>2903095</v>
      </c>
      <c r="L22" s="10">
        <v>519051</v>
      </c>
      <c r="M22" s="10">
        <v>1221401</v>
      </c>
      <c r="N22" s="10">
        <v>628299</v>
      </c>
      <c r="O22" s="10">
        <v>1619489</v>
      </c>
      <c r="P22" s="10">
        <v>3424</v>
      </c>
      <c r="Q22" s="10">
        <v>36356</v>
      </c>
      <c r="R22" s="10">
        <v>28123</v>
      </c>
      <c r="S22" s="10">
        <v>41805</v>
      </c>
      <c r="T22" s="10"/>
      <c r="U22" s="10"/>
      <c r="V22" s="10">
        <v>251062</v>
      </c>
      <c r="W22" s="10">
        <v>625221</v>
      </c>
      <c r="X22" s="10">
        <v>214641</v>
      </c>
      <c r="Y22" s="10">
        <v>470602</v>
      </c>
      <c r="Z22" s="10">
        <f>65002+775535</f>
        <v>840537</v>
      </c>
      <c r="AA22" s="10">
        <f>163015+2156529</f>
        <v>2319544</v>
      </c>
      <c r="AB22" s="10">
        <v>2246582</v>
      </c>
      <c r="AC22" s="10">
        <v>5382631</v>
      </c>
      <c r="AD22" s="10">
        <v>821999</v>
      </c>
      <c r="AE22" s="10">
        <v>2525357</v>
      </c>
      <c r="AF22" s="10">
        <v>69137</v>
      </c>
      <c r="AG22" s="10">
        <v>162524</v>
      </c>
      <c r="AH22" s="10">
        <f>601+307373</f>
        <v>307974</v>
      </c>
      <c r="AI22" s="10">
        <f>8156+866584</f>
        <v>874740</v>
      </c>
      <c r="AJ22" s="89">
        <v>155630</v>
      </c>
      <c r="AK22" s="10">
        <v>4594</v>
      </c>
      <c r="AL22" s="10"/>
      <c r="AM22" s="10"/>
      <c r="AN22" s="10"/>
      <c r="AO22" s="10"/>
      <c r="AP22" s="10">
        <v>1317998.0949999997</v>
      </c>
      <c r="AQ22" s="10">
        <v>3471938.0789999999</v>
      </c>
      <c r="AR22" s="10">
        <v>2707422</v>
      </c>
      <c r="AS22" s="10">
        <v>7713012</v>
      </c>
      <c r="AT22" s="10">
        <v>872328</v>
      </c>
      <c r="AU22" s="10">
        <v>2148562</v>
      </c>
      <c r="AV22" s="10">
        <f>105+2285</f>
        <v>2390</v>
      </c>
      <c r="AW22" s="10">
        <f>167+5187</f>
        <v>5354</v>
      </c>
      <c r="AX22" s="10">
        <v>620759</v>
      </c>
      <c r="AY22" s="10">
        <v>1912642</v>
      </c>
      <c r="AZ22" s="10"/>
      <c r="BA22" s="10"/>
      <c r="BB22" s="10"/>
      <c r="BC22" s="10"/>
      <c r="BD22" s="10">
        <v>602654</v>
      </c>
      <c r="BE22" s="10">
        <v>1685429</v>
      </c>
      <c r="BF22" s="10">
        <v>485710</v>
      </c>
      <c r="BG22" s="10">
        <v>1079049</v>
      </c>
      <c r="BH22" s="10">
        <v>421314</v>
      </c>
      <c r="BI22" s="10">
        <v>948516</v>
      </c>
      <c r="BJ22" s="10"/>
      <c r="BK22" s="10"/>
      <c r="BL22" s="10">
        <v>956770</v>
      </c>
      <c r="BM22" s="10">
        <v>2722609</v>
      </c>
      <c r="BN22" s="10">
        <v>880167</v>
      </c>
      <c r="BO22" s="10">
        <v>2626351</v>
      </c>
      <c r="BP22" s="10">
        <f>4402+223955</f>
        <v>228357</v>
      </c>
      <c r="BQ22" s="10">
        <f>7409+541043</f>
        <v>548452</v>
      </c>
      <c r="BR22" s="85">
        <f t="shared" ref="BR22:BR25" si="4">SUM(B22+D22+F22+H22+J22+L22+N22+P22+R22+T22+V22+X22+Z22+AB22+AD22+AF22+AH22+AJ22+AL22+AN22+AP22+AR22+AT22+AV22+AX22+AZ22+BB22+BD22+BF22+BH22+BJ22+BL22+BN22+BP22)</f>
        <v>16237964.094999999</v>
      </c>
      <c r="BS22" s="85">
        <f t="shared" ref="BS22:BS25" si="5">SUM(C22+E22+G22+I22+K22+M22+O22+Q22+S22+U22+W22+Y22+AA22+AC22+AE22+AG22+AI22+AK22+AM22+AO22+AQ22+AS22+AU22+AW22+AY22+BA22+BC22+BE22+BG22+BI22+BK22+BM22+BO22+BQ22)</f>
        <v>43079510.078999996</v>
      </c>
    </row>
    <row r="23" spans="1:71" x14ac:dyDescent="0.25">
      <c r="A23" s="30" t="s">
        <v>289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>
        <v>24682</v>
      </c>
      <c r="AC23" s="10">
        <v>25213</v>
      </c>
      <c r="AD23" s="10"/>
      <c r="AE23" s="10"/>
      <c r="AF23" s="10"/>
      <c r="AG23" s="10"/>
      <c r="AH23" s="10"/>
      <c r="AI23" s="10"/>
      <c r="AJ23" s="89"/>
      <c r="AK23" s="10">
        <v>1228</v>
      </c>
      <c r="AL23" s="10"/>
      <c r="AM23" s="10"/>
      <c r="AN23" s="10"/>
      <c r="AO23" s="10"/>
      <c r="AP23" s="10">
        <v>0</v>
      </c>
      <c r="AQ23" s="10">
        <v>-43.058</v>
      </c>
      <c r="AR23" s="10">
        <v>1416</v>
      </c>
      <c r="AS23" s="10">
        <v>2344</v>
      </c>
      <c r="AT23" s="10">
        <v>109</v>
      </c>
      <c r="AU23" s="10">
        <v>291</v>
      </c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>
        <v>0</v>
      </c>
      <c r="BO23" s="10">
        <v>0</v>
      </c>
      <c r="BP23" s="10"/>
      <c r="BQ23" s="10"/>
      <c r="BR23" s="85">
        <f t="shared" si="4"/>
        <v>26207</v>
      </c>
      <c r="BS23" s="85">
        <f t="shared" si="5"/>
        <v>29032.941999999999</v>
      </c>
    </row>
    <row r="24" spans="1:71" x14ac:dyDescent="0.25">
      <c r="A24" s="30" t="s">
        <v>290</v>
      </c>
      <c r="B24" s="10">
        <v>38870</v>
      </c>
      <c r="C24" s="10">
        <v>103410</v>
      </c>
      <c r="D24" s="10"/>
      <c r="E24" s="10"/>
      <c r="F24" s="10"/>
      <c r="G24" s="10"/>
      <c r="H24" s="10"/>
      <c r="I24" s="10"/>
      <c r="J24" s="10">
        <v>65745</v>
      </c>
      <c r="K24" s="10">
        <v>17397</v>
      </c>
      <c r="L24" s="10">
        <v>24839</v>
      </c>
      <c r="M24" s="10">
        <v>136364</v>
      </c>
      <c r="N24" s="10">
        <v>406236</v>
      </c>
      <c r="O24" s="10">
        <v>1234538</v>
      </c>
      <c r="P24" s="10">
        <v>-301</v>
      </c>
      <c r="Q24" s="10">
        <v>-2711</v>
      </c>
      <c r="R24" s="10">
        <v>1599</v>
      </c>
      <c r="S24" s="10">
        <v>2373</v>
      </c>
      <c r="T24" s="10"/>
      <c r="U24" s="10"/>
      <c r="V24" s="10">
        <v>16678</v>
      </c>
      <c r="W24" s="10">
        <v>44064</v>
      </c>
      <c r="X24" s="10">
        <v>263800</v>
      </c>
      <c r="Y24" s="10">
        <v>754331</v>
      </c>
      <c r="Z24" s="10">
        <f>-358545-166514</f>
        <v>-525059</v>
      </c>
      <c r="AA24" s="10">
        <f>-904344-460250</f>
        <v>-1364594</v>
      </c>
      <c r="AB24" s="10">
        <v>504512</v>
      </c>
      <c r="AC24" s="10">
        <v>1355307</v>
      </c>
      <c r="AD24" s="10">
        <v>370365</v>
      </c>
      <c r="AE24" s="10">
        <v>1133023</v>
      </c>
      <c r="AF24" s="10">
        <v>3778</v>
      </c>
      <c r="AG24" s="10">
        <v>9189</v>
      </c>
      <c r="AH24" s="10">
        <f>3439+13706</f>
        <v>17145</v>
      </c>
      <c r="AI24" s="10">
        <f>8226+32969</f>
        <v>41195</v>
      </c>
      <c r="AJ24" s="89">
        <v>-343765</v>
      </c>
      <c r="AK24" s="10">
        <v>-7386</v>
      </c>
      <c r="AL24" s="10"/>
      <c r="AM24" s="10"/>
      <c r="AN24" s="10"/>
      <c r="AO24" s="10"/>
      <c r="AP24" s="10">
        <v>214360.91100000002</v>
      </c>
      <c r="AQ24" s="10">
        <v>618842.33000000007</v>
      </c>
      <c r="AR24" s="10">
        <v>94036</v>
      </c>
      <c r="AS24" s="10">
        <v>267775</v>
      </c>
      <c r="AT24" s="10">
        <v>138537</v>
      </c>
      <c r="AU24" s="10">
        <v>288794</v>
      </c>
      <c r="AV24" s="10">
        <f>20+539</f>
        <v>559</v>
      </c>
      <c r="AW24" s="10">
        <f>30+1353</f>
        <v>1383</v>
      </c>
      <c r="AX24" s="10">
        <v>771334</v>
      </c>
      <c r="AY24" s="10">
        <v>2403305</v>
      </c>
      <c r="AZ24" s="10"/>
      <c r="BA24" s="10"/>
      <c r="BB24" s="10"/>
      <c r="BC24" s="10"/>
      <c r="BD24" s="10">
        <v>-186888</v>
      </c>
      <c r="BE24" s="10">
        <v>-641059</v>
      </c>
      <c r="BF24" s="10">
        <v>173499</v>
      </c>
      <c r="BG24" s="10">
        <v>372952</v>
      </c>
      <c r="BH24" s="10">
        <v>21685</v>
      </c>
      <c r="BI24" s="10">
        <v>63456</v>
      </c>
      <c r="BJ24" s="10"/>
      <c r="BK24" s="10"/>
      <c r="BL24" s="10">
        <v>446130</v>
      </c>
      <c r="BM24" s="10">
        <v>1293176</v>
      </c>
      <c r="BN24" s="10">
        <v>62965</v>
      </c>
      <c r="BO24" s="10">
        <v>184332</v>
      </c>
      <c r="BP24" s="10">
        <f>3349+8310</f>
        <v>11659</v>
      </c>
      <c r="BQ24" s="10">
        <f>14287+19784</f>
        <v>34071</v>
      </c>
      <c r="BR24" s="85">
        <f t="shared" si="4"/>
        <v>2592318.9110000003</v>
      </c>
      <c r="BS24" s="85">
        <f t="shared" si="5"/>
        <v>8343527.3300000001</v>
      </c>
    </row>
    <row r="25" spans="1:71" x14ac:dyDescent="0.25">
      <c r="A25" s="30" t="s">
        <v>239</v>
      </c>
      <c r="B25" s="10">
        <v>-25462</v>
      </c>
      <c r="C25" s="10">
        <v>-73173</v>
      </c>
      <c r="D25" s="10"/>
      <c r="E25" s="10"/>
      <c r="F25" s="10"/>
      <c r="G25" s="10"/>
      <c r="H25" s="10"/>
      <c r="I25" s="10"/>
      <c r="J25" s="10">
        <v>976483</v>
      </c>
      <c r="K25" s="10">
        <v>2885698</v>
      </c>
      <c r="L25" s="10">
        <v>494212</v>
      </c>
      <c r="M25" s="10">
        <v>1085037</v>
      </c>
      <c r="N25" s="10">
        <v>222063</v>
      </c>
      <c r="O25" s="10">
        <v>384951</v>
      </c>
      <c r="P25" s="10">
        <v>3123</v>
      </c>
      <c r="Q25" s="10">
        <v>33645</v>
      </c>
      <c r="R25" s="10">
        <v>26524</v>
      </c>
      <c r="S25" s="10">
        <v>39432</v>
      </c>
      <c r="T25" s="10"/>
      <c r="U25" s="10"/>
      <c r="V25" s="10">
        <v>234384</v>
      </c>
      <c r="W25" s="10">
        <v>581157</v>
      </c>
      <c r="X25" s="10">
        <v>-49159</v>
      </c>
      <c r="Y25" s="10">
        <v>-283730</v>
      </c>
      <c r="Z25" s="10">
        <f>-293544+609020</f>
        <v>315476</v>
      </c>
      <c r="AA25" s="10">
        <f>-741329+1696279</f>
        <v>954950</v>
      </c>
      <c r="AB25" s="10">
        <v>1766752</v>
      </c>
      <c r="AC25" s="10">
        <v>4052537</v>
      </c>
      <c r="AD25" s="10">
        <v>451634</v>
      </c>
      <c r="AE25" s="10">
        <v>1392334</v>
      </c>
      <c r="AF25" s="10">
        <v>65359</v>
      </c>
      <c r="AG25" s="10">
        <v>153335</v>
      </c>
      <c r="AH25" s="10">
        <f>-2838+293668</f>
        <v>290830</v>
      </c>
      <c r="AI25" s="10">
        <f>-69+833615</f>
        <v>833546</v>
      </c>
      <c r="AJ25" s="89">
        <v>-188135</v>
      </c>
      <c r="AK25" s="10">
        <v>-1564</v>
      </c>
      <c r="AL25" s="10"/>
      <c r="AM25" s="10"/>
      <c r="AN25" s="10"/>
      <c r="AO25" s="10"/>
      <c r="AP25" s="10">
        <v>1103637.1839999997</v>
      </c>
      <c r="AQ25" s="10">
        <v>2853052.6909999996</v>
      </c>
      <c r="AR25" s="10">
        <v>2614802</v>
      </c>
      <c r="AS25" s="10">
        <v>7447580</v>
      </c>
      <c r="AT25" s="10">
        <v>733900</v>
      </c>
      <c r="AU25" s="10">
        <v>1860059</v>
      </c>
      <c r="AV25" s="10">
        <f>86+1746</f>
        <v>1832</v>
      </c>
      <c r="AW25" s="10">
        <f>137+3834</f>
        <v>3971</v>
      </c>
      <c r="AX25" s="10">
        <v>-150575</v>
      </c>
      <c r="AY25" s="10">
        <v>-490681</v>
      </c>
      <c r="AZ25" s="10"/>
      <c r="BA25" s="10"/>
      <c r="BB25" s="10"/>
      <c r="BC25" s="10"/>
      <c r="BD25" s="10">
        <v>415766</v>
      </c>
      <c r="BE25" s="10">
        <v>1044370</v>
      </c>
      <c r="BF25" s="10">
        <v>312211</v>
      </c>
      <c r="BG25" s="10">
        <v>706097</v>
      </c>
      <c r="BH25" s="10">
        <v>399630</v>
      </c>
      <c r="BI25" s="10">
        <v>885060</v>
      </c>
      <c r="BJ25" s="10"/>
      <c r="BK25" s="10"/>
      <c r="BL25" s="10">
        <v>510640</v>
      </c>
      <c r="BM25" s="10">
        <v>1429433</v>
      </c>
      <c r="BN25" s="10">
        <v>817202</v>
      </c>
      <c r="BO25" s="10">
        <v>2442019</v>
      </c>
      <c r="BP25" s="10">
        <f>1053+215645</f>
        <v>216698</v>
      </c>
      <c r="BQ25" s="10">
        <f>-6878+521259</f>
        <v>514381</v>
      </c>
      <c r="BR25" s="85">
        <f t="shared" si="4"/>
        <v>11559827.184</v>
      </c>
      <c r="BS25" s="85">
        <f t="shared" si="5"/>
        <v>30733496.691</v>
      </c>
    </row>
    <row r="26" spans="1:71" x14ac:dyDescent="0.25">
      <c r="A26" s="28"/>
    </row>
    <row r="27" spans="1:71" x14ac:dyDescent="0.25">
      <c r="A27" s="29" t="s">
        <v>232</v>
      </c>
    </row>
    <row r="28" spans="1:71" x14ac:dyDescent="0.25">
      <c r="A28" s="3" t="s">
        <v>0</v>
      </c>
      <c r="B28" s="107" t="s">
        <v>1</v>
      </c>
      <c r="C28" s="108"/>
      <c r="D28" s="107" t="s">
        <v>2</v>
      </c>
      <c r="E28" s="108"/>
      <c r="F28" s="107" t="s">
        <v>3</v>
      </c>
      <c r="G28" s="108"/>
      <c r="H28" s="107" t="s">
        <v>307</v>
      </c>
      <c r="I28" s="108"/>
      <c r="J28" s="107" t="s">
        <v>5</v>
      </c>
      <c r="K28" s="108"/>
      <c r="L28" s="107" t="s">
        <v>6</v>
      </c>
      <c r="M28" s="108"/>
      <c r="N28" s="107" t="s">
        <v>7</v>
      </c>
      <c r="O28" s="108"/>
      <c r="P28" s="107" t="s">
        <v>8</v>
      </c>
      <c r="Q28" s="108"/>
      <c r="R28" s="107" t="s">
        <v>9</v>
      </c>
      <c r="S28" s="108"/>
      <c r="T28" s="107" t="s">
        <v>10</v>
      </c>
      <c r="U28" s="108"/>
      <c r="V28" s="107" t="s">
        <v>11</v>
      </c>
      <c r="W28" s="108"/>
      <c r="X28" s="107" t="s">
        <v>12</v>
      </c>
      <c r="Y28" s="108"/>
      <c r="Z28" s="107" t="s">
        <v>13</v>
      </c>
      <c r="AA28" s="108"/>
      <c r="AB28" s="107" t="s">
        <v>14</v>
      </c>
      <c r="AC28" s="108"/>
      <c r="AD28" s="107" t="s">
        <v>15</v>
      </c>
      <c r="AE28" s="108"/>
      <c r="AF28" s="107" t="s">
        <v>16</v>
      </c>
      <c r="AG28" s="108"/>
      <c r="AH28" s="107" t="s">
        <v>17</v>
      </c>
      <c r="AI28" s="108"/>
      <c r="AJ28" s="107" t="s">
        <v>18</v>
      </c>
      <c r="AK28" s="108"/>
      <c r="AL28" s="107" t="s">
        <v>296</v>
      </c>
      <c r="AM28" s="108"/>
      <c r="AN28" s="107" t="s">
        <v>19</v>
      </c>
      <c r="AO28" s="108"/>
      <c r="AP28" s="107" t="s">
        <v>20</v>
      </c>
      <c r="AQ28" s="108"/>
      <c r="AR28" s="107" t="s">
        <v>21</v>
      </c>
      <c r="AS28" s="108"/>
      <c r="AT28" s="107" t="s">
        <v>22</v>
      </c>
      <c r="AU28" s="108"/>
      <c r="AV28" s="107" t="s">
        <v>23</v>
      </c>
      <c r="AW28" s="108"/>
      <c r="AX28" s="107" t="s">
        <v>24</v>
      </c>
      <c r="AY28" s="108"/>
      <c r="AZ28" s="107" t="s">
        <v>25</v>
      </c>
      <c r="BA28" s="108"/>
      <c r="BB28" s="107" t="s">
        <v>26</v>
      </c>
      <c r="BC28" s="108"/>
      <c r="BD28" s="107" t="s">
        <v>27</v>
      </c>
      <c r="BE28" s="108"/>
      <c r="BF28" s="107" t="s">
        <v>28</v>
      </c>
      <c r="BG28" s="108"/>
      <c r="BH28" s="107" t="s">
        <v>29</v>
      </c>
      <c r="BI28" s="108"/>
      <c r="BJ28" s="107" t="s">
        <v>30</v>
      </c>
      <c r="BK28" s="108"/>
      <c r="BL28" s="107" t="s">
        <v>31</v>
      </c>
      <c r="BM28" s="108"/>
      <c r="BN28" s="111" t="s">
        <v>32</v>
      </c>
      <c r="BO28" s="112"/>
      <c r="BP28" s="107" t="s">
        <v>33</v>
      </c>
      <c r="BQ28" s="108"/>
      <c r="BR28" s="109" t="s">
        <v>34</v>
      </c>
      <c r="BS28" s="110"/>
    </row>
    <row r="29" spans="1:71" ht="30" x14ac:dyDescent="0.25">
      <c r="A29" s="3"/>
      <c r="B29" s="66" t="s">
        <v>294</v>
      </c>
      <c r="C29" s="67" t="s">
        <v>295</v>
      </c>
      <c r="D29" s="66" t="s">
        <v>294</v>
      </c>
      <c r="E29" s="67" t="s">
        <v>295</v>
      </c>
      <c r="F29" s="66" t="s">
        <v>294</v>
      </c>
      <c r="G29" s="67" t="s">
        <v>295</v>
      </c>
      <c r="H29" s="66" t="s">
        <v>294</v>
      </c>
      <c r="I29" s="67" t="s">
        <v>295</v>
      </c>
      <c r="J29" s="66" t="s">
        <v>294</v>
      </c>
      <c r="K29" s="67" t="s">
        <v>295</v>
      </c>
      <c r="L29" s="66" t="s">
        <v>294</v>
      </c>
      <c r="M29" s="67" t="s">
        <v>295</v>
      </c>
      <c r="N29" s="66" t="s">
        <v>294</v>
      </c>
      <c r="O29" s="67" t="s">
        <v>295</v>
      </c>
      <c r="P29" s="66" t="s">
        <v>294</v>
      </c>
      <c r="Q29" s="67" t="s">
        <v>295</v>
      </c>
      <c r="R29" s="66" t="s">
        <v>294</v>
      </c>
      <c r="S29" s="67" t="s">
        <v>295</v>
      </c>
      <c r="T29" s="66" t="s">
        <v>294</v>
      </c>
      <c r="U29" s="67" t="s">
        <v>295</v>
      </c>
      <c r="V29" s="66" t="s">
        <v>294</v>
      </c>
      <c r="W29" s="67" t="s">
        <v>295</v>
      </c>
      <c r="X29" s="66" t="s">
        <v>294</v>
      </c>
      <c r="Y29" s="67" t="s">
        <v>295</v>
      </c>
      <c r="Z29" s="66" t="s">
        <v>294</v>
      </c>
      <c r="AA29" s="67" t="s">
        <v>295</v>
      </c>
      <c r="AB29" s="66" t="s">
        <v>294</v>
      </c>
      <c r="AC29" s="67" t="s">
        <v>295</v>
      </c>
      <c r="AD29" s="66" t="s">
        <v>294</v>
      </c>
      <c r="AE29" s="67" t="s">
        <v>295</v>
      </c>
      <c r="AF29" s="66" t="s">
        <v>294</v>
      </c>
      <c r="AG29" s="67" t="s">
        <v>295</v>
      </c>
      <c r="AH29" s="66" t="s">
        <v>294</v>
      </c>
      <c r="AI29" s="67" t="s">
        <v>295</v>
      </c>
      <c r="AJ29" s="66" t="s">
        <v>294</v>
      </c>
      <c r="AK29" s="67" t="s">
        <v>295</v>
      </c>
      <c r="AL29" s="66" t="s">
        <v>294</v>
      </c>
      <c r="AM29" s="67" t="s">
        <v>295</v>
      </c>
      <c r="AN29" s="66" t="s">
        <v>294</v>
      </c>
      <c r="AO29" s="67" t="s">
        <v>295</v>
      </c>
      <c r="AP29" s="66" t="s">
        <v>294</v>
      </c>
      <c r="AQ29" s="67" t="s">
        <v>295</v>
      </c>
      <c r="AR29" s="66" t="s">
        <v>294</v>
      </c>
      <c r="AS29" s="67" t="s">
        <v>295</v>
      </c>
      <c r="AT29" s="66" t="s">
        <v>294</v>
      </c>
      <c r="AU29" s="67" t="s">
        <v>295</v>
      </c>
      <c r="AV29" s="66" t="s">
        <v>294</v>
      </c>
      <c r="AW29" s="67" t="s">
        <v>295</v>
      </c>
      <c r="AX29" s="66" t="s">
        <v>294</v>
      </c>
      <c r="AY29" s="67" t="s">
        <v>295</v>
      </c>
      <c r="AZ29" s="66" t="s">
        <v>294</v>
      </c>
      <c r="BA29" s="67" t="s">
        <v>295</v>
      </c>
      <c r="BB29" s="66" t="s">
        <v>294</v>
      </c>
      <c r="BC29" s="67" t="s">
        <v>295</v>
      </c>
      <c r="BD29" s="66" t="s">
        <v>294</v>
      </c>
      <c r="BE29" s="67" t="s">
        <v>295</v>
      </c>
      <c r="BF29" s="66" t="s">
        <v>294</v>
      </c>
      <c r="BG29" s="67" t="s">
        <v>295</v>
      </c>
      <c r="BH29" s="66" t="s">
        <v>294</v>
      </c>
      <c r="BI29" s="67" t="s">
        <v>295</v>
      </c>
      <c r="BJ29" s="66" t="s">
        <v>294</v>
      </c>
      <c r="BK29" s="67" t="s">
        <v>295</v>
      </c>
      <c r="BL29" s="66" t="s">
        <v>294</v>
      </c>
      <c r="BM29" s="67" t="s">
        <v>295</v>
      </c>
      <c r="BN29" s="66" t="s">
        <v>294</v>
      </c>
      <c r="BO29" s="67" t="s">
        <v>295</v>
      </c>
      <c r="BP29" s="66" t="s">
        <v>294</v>
      </c>
      <c r="BQ29" s="67" t="s">
        <v>295</v>
      </c>
      <c r="BR29" s="66" t="s">
        <v>294</v>
      </c>
      <c r="BS29" s="67" t="s">
        <v>295</v>
      </c>
    </row>
    <row r="30" spans="1:71" x14ac:dyDescent="0.25">
      <c r="A30" s="30" t="s">
        <v>238</v>
      </c>
      <c r="B30" s="10"/>
      <c r="C30" s="10"/>
      <c r="D30" s="10"/>
      <c r="E30" s="10"/>
      <c r="F30" s="10"/>
      <c r="G30" s="10"/>
      <c r="H30" s="10"/>
      <c r="I30" s="10"/>
      <c r="J30" s="10">
        <v>29305</v>
      </c>
      <c r="K30" s="10">
        <v>98240</v>
      </c>
      <c r="L30" s="10">
        <v>4137</v>
      </c>
      <c r="M30" s="10">
        <v>17119</v>
      </c>
      <c r="N30" s="10">
        <v>6763</v>
      </c>
      <c r="O30" s="10">
        <v>21396</v>
      </c>
      <c r="P30" s="10"/>
      <c r="Q30" s="10"/>
      <c r="R30" s="10"/>
      <c r="S30" s="10"/>
      <c r="T30" s="10"/>
      <c r="U30" s="10"/>
      <c r="V30" s="10">
        <v>13659</v>
      </c>
      <c r="W30" s="10">
        <v>43432</v>
      </c>
      <c r="X30" s="10">
        <v>-243</v>
      </c>
      <c r="Y30" s="10">
        <v>2194</v>
      </c>
      <c r="Z30" s="10">
        <v>25259</v>
      </c>
      <c r="AA30" s="10">
        <v>88740</v>
      </c>
      <c r="AB30" s="10">
        <v>73100</v>
      </c>
      <c r="AC30" s="10">
        <v>195031</v>
      </c>
      <c r="AD30" s="10">
        <v>31243</v>
      </c>
      <c r="AE30" s="10">
        <v>89043</v>
      </c>
      <c r="AF30" s="10">
        <v>779</v>
      </c>
      <c r="AG30" s="10">
        <v>2344</v>
      </c>
      <c r="AH30" s="10">
        <v>5557</v>
      </c>
      <c r="AI30" s="10">
        <v>20619</v>
      </c>
      <c r="AJ30" s="89">
        <v>1733</v>
      </c>
      <c r="AK30" s="10">
        <v>4594</v>
      </c>
      <c r="AL30" s="10"/>
      <c r="AM30" s="10"/>
      <c r="AN30" s="10"/>
      <c r="AO30" s="10"/>
      <c r="AP30" s="10">
        <v>54585.964999999997</v>
      </c>
      <c r="AQ30" s="10">
        <v>168098.894</v>
      </c>
      <c r="AR30" s="10">
        <v>161062</v>
      </c>
      <c r="AS30" s="10">
        <v>461390</v>
      </c>
      <c r="AT30" s="10">
        <v>66494</v>
      </c>
      <c r="AU30" s="10">
        <v>148003</v>
      </c>
      <c r="AV30" s="10">
        <v>417</v>
      </c>
      <c r="AW30" s="10">
        <v>854</v>
      </c>
      <c r="AX30" s="10">
        <v>24725</v>
      </c>
      <c r="AY30" s="10">
        <v>78975</v>
      </c>
      <c r="AZ30" s="10"/>
      <c r="BA30" s="10"/>
      <c r="BB30" s="10"/>
      <c r="BC30" s="10"/>
      <c r="BD30" s="10">
        <v>16806</v>
      </c>
      <c r="BE30" s="10">
        <v>52797</v>
      </c>
      <c r="BF30" s="10">
        <v>7513</v>
      </c>
      <c r="BG30" s="10">
        <v>20280</v>
      </c>
      <c r="BH30" s="10">
        <v>5924</v>
      </c>
      <c r="BI30" s="10">
        <v>14013</v>
      </c>
      <c r="BJ30" s="10"/>
      <c r="BK30" s="10"/>
      <c r="BL30" s="10">
        <v>22244</v>
      </c>
      <c r="BM30" s="10">
        <v>55115</v>
      </c>
      <c r="BN30" s="10">
        <v>65373</v>
      </c>
      <c r="BO30" s="10">
        <v>224720</v>
      </c>
      <c r="BP30" s="10">
        <v>1437</v>
      </c>
      <c r="BQ30" s="10">
        <v>4725</v>
      </c>
      <c r="BR30" s="85">
        <f t="shared" ref="BR30:BR33" si="6">SUM(B30+D30+F30+H30+J30+L30+N30+P30+R30+T30+V30+X30+Z30+AB30+AD30+AF30+AH30+AJ30+AL30+AN30+AP30+AR30+AT30+AV30+AX30+AZ30+BB30+BD30+BF30+BH30+BJ30+BL30+BN30+BP30)</f>
        <v>617872.96499999997</v>
      </c>
      <c r="BS30" s="85">
        <f t="shared" ref="BS30:BS33" si="7">SUM(C30+E30+G30+I30+K30+M30+O30+Q30+S30+U30+W30+Y30+AA30+AC30+AE30+AG30+AI30+AK30+AM30+AO30+AQ30+AS30+AU30+AW30+AY30+BA30+BC30+BE30+BG30+BI30+BK30+BM30+BO30+BQ30)</f>
        <v>1811722.8939999999</v>
      </c>
    </row>
    <row r="31" spans="1:71" x14ac:dyDescent="0.25">
      <c r="A31" s="30" t="s">
        <v>289</v>
      </c>
      <c r="B31" s="10"/>
      <c r="C31" s="10"/>
      <c r="D31" s="10"/>
      <c r="E31" s="10"/>
      <c r="F31" s="10"/>
      <c r="G31" s="10"/>
      <c r="H31" s="10"/>
      <c r="I31" s="10"/>
      <c r="J31" s="10">
        <v>1839</v>
      </c>
      <c r="K31" s="10">
        <v>6328</v>
      </c>
      <c r="L31" s="10">
        <v>77</v>
      </c>
      <c r="M31" s="10">
        <v>216</v>
      </c>
      <c r="N31" s="10">
        <v>90</v>
      </c>
      <c r="O31" s="10">
        <v>261</v>
      </c>
      <c r="P31" s="10">
        <v>29</v>
      </c>
      <c r="Q31" s="10">
        <v>92</v>
      </c>
      <c r="R31" s="10">
        <v>158</v>
      </c>
      <c r="S31" s="10">
        <v>551</v>
      </c>
      <c r="T31" s="10"/>
      <c r="U31" s="10"/>
      <c r="V31" s="10">
        <v>837</v>
      </c>
      <c r="W31" s="10">
        <v>2397</v>
      </c>
      <c r="X31" s="10">
        <v>2642</v>
      </c>
      <c r="Y31" s="10">
        <v>4309</v>
      </c>
      <c r="Z31" s="10">
        <v>969</v>
      </c>
      <c r="AA31" s="10">
        <v>4580</v>
      </c>
      <c r="AB31" s="10">
        <v>14861</v>
      </c>
      <c r="AC31" s="10">
        <v>45349</v>
      </c>
      <c r="AD31" s="10">
        <v>2675</v>
      </c>
      <c r="AE31" s="10">
        <v>2840</v>
      </c>
      <c r="AF31" s="10">
        <v>23</v>
      </c>
      <c r="AG31" s="10">
        <v>67</v>
      </c>
      <c r="AH31" s="10">
        <v>48</v>
      </c>
      <c r="AI31" s="10">
        <v>139</v>
      </c>
      <c r="AJ31" s="89">
        <v>347</v>
      </c>
      <c r="AK31" s="10">
        <v>1228</v>
      </c>
      <c r="AL31" s="10"/>
      <c r="AM31" s="10"/>
      <c r="AN31" s="10"/>
      <c r="AO31" s="10"/>
      <c r="AP31" s="10">
        <v>20376.093999999997</v>
      </c>
      <c r="AQ31" s="10">
        <v>53200.661</v>
      </c>
      <c r="AR31" s="10">
        <v>35589</v>
      </c>
      <c r="AS31" s="10">
        <v>96695</v>
      </c>
      <c r="AT31" s="10">
        <v>32219</v>
      </c>
      <c r="AU31" s="10">
        <v>81070</v>
      </c>
      <c r="AV31" s="10">
        <v>2</v>
      </c>
      <c r="AW31" s="10">
        <v>7</v>
      </c>
      <c r="AX31" s="10">
        <v>709</v>
      </c>
      <c r="AY31" s="10">
        <v>2157</v>
      </c>
      <c r="AZ31" s="10"/>
      <c r="BA31" s="10"/>
      <c r="BB31" s="10"/>
      <c r="BC31" s="10"/>
      <c r="BD31" s="10">
        <v>716</v>
      </c>
      <c r="BE31" s="10">
        <v>3016</v>
      </c>
      <c r="BF31" s="10">
        <v>248</v>
      </c>
      <c r="BG31" s="10">
        <v>780</v>
      </c>
      <c r="BH31" s="10">
        <v>292</v>
      </c>
      <c r="BI31" s="10">
        <v>920</v>
      </c>
      <c r="BJ31" s="10"/>
      <c r="BK31" s="10"/>
      <c r="BL31" s="10">
        <v>400</v>
      </c>
      <c r="BM31" s="10">
        <v>1604</v>
      </c>
      <c r="BN31" s="10">
        <v>11364</v>
      </c>
      <c r="BO31" s="10">
        <v>41226</v>
      </c>
      <c r="BP31" s="10">
        <v>146</v>
      </c>
      <c r="BQ31" s="10">
        <v>460</v>
      </c>
      <c r="BR31" s="85">
        <f t="shared" si="6"/>
        <v>126656.094</v>
      </c>
      <c r="BS31" s="85">
        <f t="shared" si="7"/>
        <v>349492.66099999996</v>
      </c>
    </row>
    <row r="32" spans="1:71" x14ac:dyDescent="0.25">
      <c r="A32" s="30" t="s">
        <v>290</v>
      </c>
      <c r="B32" s="10"/>
      <c r="C32" s="10"/>
      <c r="D32" s="10"/>
      <c r="E32" s="10"/>
      <c r="F32" s="10"/>
      <c r="G32" s="10"/>
      <c r="H32" s="10"/>
      <c r="I32" s="10"/>
      <c r="J32" s="10">
        <v>55876</v>
      </c>
      <c r="K32" s="10">
        <v>172458</v>
      </c>
      <c r="L32" s="10">
        <v>9154</v>
      </c>
      <c r="M32" s="10">
        <v>38375</v>
      </c>
      <c r="N32" s="10">
        <v>5790</v>
      </c>
      <c r="O32" s="10">
        <v>18804</v>
      </c>
      <c r="P32" s="10"/>
      <c r="Q32" s="10"/>
      <c r="R32" s="10"/>
      <c r="S32" s="10">
        <v>68</v>
      </c>
      <c r="T32" s="10"/>
      <c r="U32" s="10"/>
      <c r="V32" s="10">
        <v>26663</v>
      </c>
      <c r="W32" s="10">
        <v>62865</v>
      </c>
      <c r="X32" s="10">
        <v>1977</v>
      </c>
      <c r="Y32" s="10">
        <v>5787</v>
      </c>
      <c r="Z32" s="10">
        <v>-84195</v>
      </c>
      <c r="AA32" s="10">
        <v>-224002</v>
      </c>
      <c r="AB32" s="10">
        <v>91537</v>
      </c>
      <c r="AC32" s="10">
        <v>301842</v>
      </c>
      <c r="AD32" s="10">
        <v>18674</v>
      </c>
      <c r="AE32" s="10">
        <v>61103</v>
      </c>
      <c r="AF32" s="10">
        <v>388</v>
      </c>
      <c r="AG32" s="10">
        <v>1591</v>
      </c>
      <c r="AH32" s="10">
        <v>6197</v>
      </c>
      <c r="AI32" s="10">
        <v>24229</v>
      </c>
      <c r="AJ32" s="89">
        <v>-3290</v>
      </c>
      <c r="AK32" s="10">
        <v>-7386</v>
      </c>
      <c r="AL32" s="10"/>
      <c r="AM32" s="10"/>
      <c r="AN32" s="10"/>
      <c r="AO32" s="10"/>
      <c r="AP32" s="10">
        <v>15698.748</v>
      </c>
      <c r="AQ32" s="10">
        <v>55199.981</v>
      </c>
      <c r="AR32" s="10">
        <v>88765</v>
      </c>
      <c r="AS32" s="10">
        <v>292425</v>
      </c>
      <c r="AT32" s="10">
        <v>-19089</v>
      </c>
      <c r="AU32" s="10">
        <v>72859</v>
      </c>
      <c r="AV32" s="10">
        <v>426</v>
      </c>
      <c r="AW32" s="10">
        <v>863</v>
      </c>
      <c r="AX32" s="10">
        <v>9537</v>
      </c>
      <c r="AY32" s="10">
        <v>25661</v>
      </c>
      <c r="AZ32" s="10"/>
      <c r="BA32" s="10"/>
      <c r="BB32" s="10"/>
      <c r="BC32" s="10"/>
      <c r="BD32" s="10">
        <v>-30513</v>
      </c>
      <c r="BE32" s="10">
        <v>-120163</v>
      </c>
      <c r="BF32" s="10">
        <v>12138</v>
      </c>
      <c r="BG32" s="10">
        <v>31490</v>
      </c>
      <c r="BH32" s="10">
        <v>5056</v>
      </c>
      <c r="BI32" s="10">
        <v>12909</v>
      </c>
      <c r="BJ32" s="10"/>
      <c r="BK32" s="10"/>
      <c r="BL32" s="10">
        <v>50623</v>
      </c>
      <c r="BM32" s="10">
        <v>117799</v>
      </c>
      <c r="BN32" s="10">
        <v>33737</v>
      </c>
      <c r="BO32" s="10">
        <v>131259</v>
      </c>
      <c r="BP32" s="10">
        <v>2753</v>
      </c>
      <c r="BQ32" s="10">
        <v>15179</v>
      </c>
      <c r="BR32" s="85">
        <f t="shared" si="6"/>
        <v>297902.74800000002</v>
      </c>
      <c r="BS32" s="85">
        <f t="shared" si="7"/>
        <v>1091214.9810000001</v>
      </c>
    </row>
    <row r="33" spans="1:71" x14ac:dyDescent="0.25">
      <c r="A33" s="30" t="s">
        <v>239</v>
      </c>
      <c r="B33" s="10"/>
      <c r="C33" s="10"/>
      <c r="D33" s="10"/>
      <c r="E33" s="10"/>
      <c r="F33" s="10"/>
      <c r="G33" s="10"/>
      <c r="H33" s="10"/>
      <c r="I33" s="10"/>
      <c r="J33" s="10">
        <v>-24732</v>
      </c>
      <c r="K33" s="10">
        <v>-67890</v>
      </c>
      <c r="L33" s="10">
        <v>-4940</v>
      </c>
      <c r="M33" s="10">
        <v>-21040</v>
      </c>
      <c r="N33" s="10">
        <v>1063</v>
      </c>
      <c r="O33" s="10">
        <v>2853</v>
      </c>
      <c r="P33" s="10">
        <v>29</v>
      </c>
      <c r="Q33" s="10">
        <v>92</v>
      </c>
      <c r="R33" s="10">
        <v>158</v>
      </c>
      <c r="S33" s="10">
        <v>483</v>
      </c>
      <c r="T33" s="10"/>
      <c r="U33" s="10"/>
      <c r="V33" s="10">
        <v>-12168</v>
      </c>
      <c r="W33" s="10">
        <v>-17036</v>
      </c>
      <c r="X33" s="10">
        <v>422</v>
      </c>
      <c r="Y33" s="10">
        <v>716</v>
      </c>
      <c r="Z33" s="10">
        <v>-57967</v>
      </c>
      <c r="AA33" s="10">
        <v>-130681</v>
      </c>
      <c r="AB33" s="10">
        <v>-3576</v>
      </c>
      <c r="AC33" s="10">
        <v>-61462</v>
      </c>
      <c r="AD33" s="10">
        <v>15244</v>
      </c>
      <c r="AE33" s="10">
        <v>30780</v>
      </c>
      <c r="AF33" s="10">
        <v>414</v>
      </c>
      <c r="AG33" s="10">
        <v>820</v>
      </c>
      <c r="AH33" s="10">
        <v>-592</v>
      </c>
      <c r="AI33" s="10">
        <v>-3471</v>
      </c>
      <c r="AJ33" s="89">
        <v>-1210</v>
      </c>
      <c r="AK33" s="10">
        <v>-1564</v>
      </c>
      <c r="AL33" s="10"/>
      <c r="AM33" s="10"/>
      <c r="AN33" s="10"/>
      <c r="AO33" s="10"/>
      <c r="AP33" s="10">
        <v>59263.310999999994</v>
      </c>
      <c r="AQ33" s="10">
        <v>166099.57399999999</v>
      </c>
      <c r="AR33" s="10">
        <v>107887</v>
      </c>
      <c r="AS33" s="10">
        <v>265659</v>
      </c>
      <c r="AT33" s="10">
        <v>117802</v>
      </c>
      <c r="AU33" s="10">
        <v>156214</v>
      </c>
      <c r="AV33" s="10">
        <v>-7</v>
      </c>
      <c r="AW33" s="10">
        <v>-2</v>
      </c>
      <c r="AX33" s="10">
        <v>15897</v>
      </c>
      <c r="AY33" s="10">
        <v>55471</v>
      </c>
      <c r="AZ33" s="10"/>
      <c r="BA33" s="10"/>
      <c r="BB33" s="10"/>
      <c r="BC33" s="10"/>
      <c r="BD33" s="10">
        <v>-12991</v>
      </c>
      <c r="BE33" s="10">
        <v>-64350</v>
      </c>
      <c r="BF33" s="10">
        <v>-4377</v>
      </c>
      <c r="BG33" s="10">
        <v>-10430</v>
      </c>
      <c r="BH33" s="10">
        <v>1160</v>
      </c>
      <c r="BI33" s="10">
        <v>2024</v>
      </c>
      <c r="BJ33" s="10"/>
      <c r="BK33" s="10"/>
      <c r="BL33" s="10">
        <v>-27979</v>
      </c>
      <c r="BM33" s="10">
        <v>-61080</v>
      </c>
      <c r="BN33" s="10">
        <v>43000</v>
      </c>
      <c r="BO33" s="10">
        <v>134687</v>
      </c>
      <c r="BP33" s="10">
        <v>-1170</v>
      </c>
      <c r="BQ33" s="10">
        <v>-9994</v>
      </c>
      <c r="BR33" s="85">
        <f t="shared" si="6"/>
        <v>210630.31099999999</v>
      </c>
      <c r="BS33" s="85">
        <f t="shared" si="7"/>
        <v>366898.57400000002</v>
      </c>
    </row>
    <row r="34" spans="1:71" x14ac:dyDescent="0.25">
      <c r="A34" s="28"/>
    </row>
    <row r="35" spans="1:71" x14ac:dyDescent="0.25">
      <c r="A35" s="29" t="s">
        <v>233</v>
      </c>
    </row>
    <row r="36" spans="1:71" x14ac:dyDescent="0.25">
      <c r="A36" s="3" t="s">
        <v>0</v>
      </c>
      <c r="B36" s="107" t="s">
        <v>1</v>
      </c>
      <c r="C36" s="108"/>
      <c r="D36" s="107" t="s">
        <v>2</v>
      </c>
      <c r="E36" s="108"/>
      <c r="F36" s="107" t="s">
        <v>3</v>
      </c>
      <c r="G36" s="108"/>
      <c r="H36" s="107" t="s">
        <v>307</v>
      </c>
      <c r="I36" s="108"/>
      <c r="J36" s="107" t="s">
        <v>5</v>
      </c>
      <c r="K36" s="108"/>
      <c r="L36" s="107" t="s">
        <v>6</v>
      </c>
      <c r="M36" s="108"/>
      <c r="N36" s="107" t="s">
        <v>7</v>
      </c>
      <c r="O36" s="108"/>
      <c r="P36" s="107" t="s">
        <v>8</v>
      </c>
      <c r="Q36" s="108"/>
      <c r="R36" s="107" t="s">
        <v>9</v>
      </c>
      <c r="S36" s="108"/>
      <c r="T36" s="107" t="s">
        <v>10</v>
      </c>
      <c r="U36" s="108"/>
      <c r="V36" s="107" t="s">
        <v>11</v>
      </c>
      <c r="W36" s="108"/>
      <c r="X36" s="107" t="s">
        <v>12</v>
      </c>
      <c r="Y36" s="108"/>
      <c r="Z36" s="107" t="s">
        <v>13</v>
      </c>
      <c r="AA36" s="108"/>
      <c r="AB36" s="107" t="s">
        <v>14</v>
      </c>
      <c r="AC36" s="108"/>
      <c r="AD36" s="107" t="s">
        <v>15</v>
      </c>
      <c r="AE36" s="108"/>
      <c r="AF36" s="107" t="s">
        <v>16</v>
      </c>
      <c r="AG36" s="108"/>
      <c r="AH36" s="107" t="s">
        <v>17</v>
      </c>
      <c r="AI36" s="108"/>
      <c r="AJ36" s="107" t="s">
        <v>18</v>
      </c>
      <c r="AK36" s="108"/>
      <c r="AL36" s="107" t="s">
        <v>296</v>
      </c>
      <c r="AM36" s="108"/>
      <c r="AN36" s="107" t="s">
        <v>19</v>
      </c>
      <c r="AO36" s="108"/>
      <c r="AP36" s="107" t="s">
        <v>20</v>
      </c>
      <c r="AQ36" s="108"/>
      <c r="AR36" s="107" t="s">
        <v>21</v>
      </c>
      <c r="AS36" s="108"/>
      <c r="AT36" s="107" t="s">
        <v>22</v>
      </c>
      <c r="AU36" s="108"/>
      <c r="AV36" s="107" t="s">
        <v>23</v>
      </c>
      <c r="AW36" s="108"/>
      <c r="AX36" s="107" t="s">
        <v>24</v>
      </c>
      <c r="AY36" s="108"/>
      <c r="AZ36" s="107" t="s">
        <v>25</v>
      </c>
      <c r="BA36" s="108"/>
      <c r="BB36" s="107" t="s">
        <v>26</v>
      </c>
      <c r="BC36" s="108"/>
      <c r="BD36" s="107" t="s">
        <v>27</v>
      </c>
      <c r="BE36" s="108"/>
      <c r="BF36" s="107" t="s">
        <v>28</v>
      </c>
      <c r="BG36" s="108"/>
      <c r="BH36" s="107" t="s">
        <v>29</v>
      </c>
      <c r="BI36" s="108"/>
      <c r="BJ36" s="107" t="s">
        <v>30</v>
      </c>
      <c r="BK36" s="108"/>
      <c r="BL36" s="107" t="s">
        <v>31</v>
      </c>
      <c r="BM36" s="108"/>
      <c r="BN36" s="111" t="s">
        <v>32</v>
      </c>
      <c r="BO36" s="112"/>
      <c r="BP36" s="107" t="s">
        <v>33</v>
      </c>
      <c r="BQ36" s="108"/>
      <c r="BR36" s="109" t="s">
        <v>34</v>
      </c>
      <c r="BS36" s="110"/>
    </row>
    <row r="37" spans="1:71" ht="30" x14ac:dyDescent="0.25">
      <c r="A37" s="3"/>
      <c r="B37" s="66" t="s">
        <v>294</v>
      </c>
      <c r="C37" s="67" t="s">
        <v>295</v>
      </c>
      <c r="D37" s="66" t="s">
        <v>294</v>
      </c>
      <c r="E37" s="67" t="s">
        <v>295</v>
      </c>
      <c r="F37" s="66" t="s">
        <v>294</v>
      </c>
      <c r="G37" s="67" t="s">
        <v>295</v>
      </c>
      <c r="H37" s="66" t="s">
        <v>294</v>
      </c>
      <c r="I37" s="67" t="s">
        <v>295</v>
      </c>
      <c r="J37" s="66" t="s">
        <v>294</v>
      </c>
      <c r="K37" s="67" t="s">
        <v>295</v>
      </c>
      <c r="L37" s="66" t="s">
        <v>294</v>
      </c>
      <c r="M37" s="67" t="s">
        <v>295</v>
      </c>
      <c r="N37" s="66" t="s">
        <v>294</v>
      </c>
      <c r="O37" s="67" t="s">
        <v>295</v>
      </c>
      <c r="P37" s="66" t="s">
        <v>294</v>
      </c>
      <c r="Q37" s="67" t="s">
        <v>295</v>
      </c>
      <c r="R37" s="66" t="s">
        <v>294</v>
      </c>
      <c r="S37" s="67" t="s">
        <v>295</v>
      </c>
      <c r="T37" s="66" t="s">
        <v>294</v>
      </c>
      <c r="U37" s="67" t="s">
        <v>295</v>
      </c>
      <c r="V37" s="66" t="s">
        <v>294</v>
      </c>
      <c r="W37" s="67" t="s">
        <v>295</v>
      </c>
      <c r="X37" s="66" t="s">
        <v>294</v>
      </c>
      <c r="Y37" s="67" t="s">
        <v>295</v>
      </c>
      <c r="Z37" s="66" t="s">
        <v>294</v>
      </c>
      <c r="AA37" s="67" t="s">
        <v>295</v>
      </c>
      <c r="AB37" s="66" t="s">
        <v>294</v>
      </c>
      <c r="AC37" s="67" t="s">
        <v>295</v>
      </c>
      <c r="AD37" s="66" t="s">
        <v>294</v>
      </c>
      <c r="AE37" s="67" t="s">
        <v>295</v>
      </c>
      <c r="AF37" s="66" t="s">
        <v>294</v>
      </c>
      <c r="AG37" s="67" t="s">
        <v>295</v>
      </c>
      <c r="AH37" s="66" t="s">
        <v>294</v>
      </c>
      <c r="AI37" s="67" t="s">
        <v>295</v>
      </c>
      <c r="AJ37" s="66" t="s">
        <v>294</v>
      </c>
      <c r="AK37" s="67" t="s">
        <v>295</v>
      </c>
      <c r="AL37" s="66" t="s">
        <v>294</v>
      </c>
      <c r="AM37" s="67" t="s">
        <v>295</v>
      </c>
      <c r="AN37" s="66" t="s">
        <v>294</v>
      </c>
      <c r="AO37" s="67" t="s">
        <v>295</v>
      </c>
      <c r="AP37" s="66" t="s">
        <v>294</v>
      </c>
      <c r="AQ37" s="67" t="s">
        <v>295</v>
      </c>
      <c r="AR37" s="66" t="s">
        <v>294</v>
      </c>
      <c r="AS37" s="67" t="s">
        <v>295</v>
      </c>
      <c r="AT37" s="66" t="s">
        <v>294</v>
      </c>
      <c r="AU37" s="67" t="s">
        <v>295</v>
      </c>
      <c r="AV37" s="66" t="s">
        <v>294</v>
      </c>
      <c r="AW37" s="67" t="s">
        <v>295</v>
      </c>
      <c r="AX37" s="66" t="s">
        <v>294</v>
      </c>
      <c r="AY37" s="67" t="s">
        <v>295</v>
      </c>
      <c r="AZ37" s="66" t="s">
        <v>294</v>
      </c>
      <c r="BA37" s="67" t="s">
        <v>295</v>
      </c>
      <c r="BB37" s="66" t="s">
        <v>294</v>
      </c>
      <c r="BC37" s="67" t="s">
        <v>295</v>
      </c>
      <c r="BD37" s="66" t="s">
        <v>294</v>
      </c>
      <c r="BE37" s="67" t="s">
        <v>295</v>
      </c>
      <c r="BF37" s="66" t="s">
        <v>294</v>
      </c>
      <c r="BG37" s="67" t="s">
        <v>295</v>
      </c>
      <c r="BH37" s="66" t="s">
        <v>294</v>
      </c>
      <c r="BI37" s="67" t="s">
        <v>295</v>
      </c>
      <c r="BJ37" s="66" t="s">
        <v>294</v>
      </c>
      <c r="BK37" s="67" t="s">
        <v>295</v>
      </c>
      <c r="BL37" s="66" t="s">
        <v>294</v>
      </c>
      <c r="BM37" s="67" t="s">
        <v>295</v>
      </c>
      <c r="BN37" s="66" t="s">
        <v>294</v>
      </c>
      <c r="BO37" s="67" t="s">
        <v>295</v>
      </c>
      <c r="BP37" s="66" t="s">
        <v>294</v>
      </c>
      <c r="BQ37" s="67" t="s">
        <v>295</v>
      </c>
      <c r="BR37" s="66" t="s">
        <v>294</v>
      </c>
      <c r="BS37" s="67" t="s">
        <v>295</v>
      </c>
    </row>
    <row r="38" spans="1:71" x14ac:dyDescent="0.25">
      <c r="A38" s="30" t="s">
        <v>238</v>
      </c>
      <c r="B38" s="10">
        <v>1602</v>
      </c>
      <c r="C38" s="10">
        <v>1611</v>
      </c>
      <c r="D38" s="10">
        <v>287743</v>
      </c>
      <c r="E38" s="10">
        <v>638128</v>
      </c>
      <c r="F38" s="10"/>
      <c r="G38" s="10"/>
      <c r="H38" s="10">
        <v>718184</v>
      </c>
      <c r="I38" s="10">
        <v>1893328</v>
      </c>
      <c r="J38" s="10">
        <v>413877</v>
      </c>
      <c r="K38" s="10">
        <v>1195540</v>
      </c>
      <c r="L38" s="10">
        <v>90624</v>
      </c>
      <c r="M38" s="10">
        <v>276630</v>
      </c>
      <c r="N38" s="10">
        <v>83989</v>
      </c>
      <c r="O38" s="10">
        <v>311774</v>
      </c>
      <c r="P38" s="10">
        <v>9326</v>
      </c>
      <c r="Q38" s="10">
        <v>25099</v>
      </c>
      <c r="R38" s="10">
        <v>6879</v>
      </c>
      <c r="S38" s="10">
        <v>22750</v>
      </c>
      <c r="T38" s="10"/>
      <c r="U38" s="10"/>
      <c r="V38" s="10">
        <v>55794</v>
      </c>
      <c r="W38" s="10">
        <v>149559</v>
      </c>
      <c r="X38" s="10">
        <v>4265</v>
      </c>
      <c r="Y38" s="10">
        <v>5917</v>
      </c>
      <c r="Z38" s="10">
        <v>404334</v>
      </c>
      <c r="AA38" s="10">
        <v>1173713</v>
      </c>
      <c r="AB38" s="10">
        <v>676273</v>
      </c>
      <c r="AC38" s="10">
        <v>1873195</v>
      </c>
      <c r="AD38" s="10">
        <v>137326</v>
      </c>
      <c r="AE38" s="10">
        <v>501657</v>
      </c>
      <c r="AF38" s="10">
        <v>23919</v>
      </c>
      <c r="AG38" s="10">
        <v>69001</v>
      </c>
      <c r="AH38" s="10">
        <v>49073</v>
      </c>
      <c r="AI38" s="10">
        <v>156584</v>
      </c>
      <c r="AJ38" s="89">
        <v>11816</v>
      </c>
      <c r="AK38" s="10">
        <v>38622</v>
      </c>
      <c r="AL38" s="10">
        <v>165640</v>
      </c>
      <c r="AM38" s="10">
        <v>463144</v>
      </c>
      <c r="AN38" s="10">
        <v>354463</v>
      </c>
      <c r="AO38" s="10">
        <v>965812</v>
      </c>
      <c r="AP38" s="10">
        <v>826224.81</v>
      </c>
      <c r="AQ38" s="10">
        <v>2350998.787</v>
      </c>
      <c r="AR38" s="10">
        <v>1390053</v>
      </c>
      <c r="AS38" s="10">
        <v>4243314</v>
      </c>
      <c r="AT38" s="10">
        <v>778892</v>
      </c>
      <c r="AU38" s="10">
        <v>2052875</v>
      </c>
      <c r="AV38" s="10">
        <v>362</v>
      </c>
      <c r="AW38" s="10">
        <v>441</v>
      </c>
      <c r="AX38" s="10">
        <v>88029</v>
      </c>
      <c r="AY38" s="10">
        <v>397927</v>
      </c>
      <c r="AZ38" s="10"/>
      <c r="BA38" s="10"/>
      <c r="BB38" s="10">
        <v>557065</v>
      </c>
      <c r="BC38" s="10">
        <v>1563209</v>
      </c>
      <c r="BD38" s="10">
        <v>112304</v>
      </c>
      <c r="BE38" s="10">
        <v>305900</v>
      </c>
      <c r="BF38" s="10">
        <v>159826</v>
      </c>
      <c r="BG38" s="10">
        <v>534550</v>
      </c>
      <c r="BH38" s="10">
        <v>1287</v>
      </c>
      <c r="BI38" s="10">
        <v>1749</v>
      </c>
      <c r="BJ38" s="10"/>
      <c r="BK38" s="10"/>
      <c r="BL38" s="10">
        <v>247371</v>
      </c>
      <c r="BM38" s="10">
        <v>700294</v>
      </c>
      <c r="BN38" s="10">
        <v>526642</v>
      </c>
      <c r="BO38" s="10">
        <v>1573337</v>
      </c>
      <c r="BP38" s="10">
        <v>45115</v>
      </c>
      <c r="BQ38" s="10">
        <v>145722</v>
      </c>
      <c r="BR38" s="85">
        <f t="shared" ref="BR38:BR41" si="8">SUM(B38+D38+F38+H38+J38+L38+N38+P38+R38+T38+V38+X38+Z38+AB38+AD38+AF38+AH38+AJ38+AL38+AN38+AP38+AR38+AT38+AV38+AX38+AZ38+BB38+BD38+BF38+BH38+BJ38+BL38+BN38+BP38)</f>
        <v>8228297.8100000005</v>
      </c>
      <c r="BS38" s="85">
        <f t="shared" ref="BS38:BS41" si="9">SUM(C38+E38+G38+I38+K38+M38+O38+Q38+S38+U38+W38+Y38+AA38+AC38+AE38+AG38+AI38+AK38+AM38+AO38+AQ38+AS38+AU38+AW38+AY38+BA38+BC38+BE38+BG38+BI38+BK38+BM38+BO38+BQ38)</f>
        <v>23632380.787</v>
      </c>
    </row>
    <row r="39" spans="1:71" x14ac:dyDescent="0.25">
      <c r="A39" s="30" t="s">
        <v>289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>
        <v>1363</v>
      </c>
      <c r="S39" s="10">
        <v>2881</v>
      </c>
      <c r="T39" s="10"/>
      <c r="U39" s="10"/>
      <c r="V39" s="10"/>
      <c r="W39" s="10"/>
      <c r="X39" s="10"/>
      <c r="Y39" s="10"/>
      <c r="Z39" s="10"/>
      <c r="AA39" s="10"/>
      <c r="AB39" s="10">
        <v>22771</v>
      </c>
      <c r="AC39" s="10">
        <v>112625</v>
      </c>
      <c r="AD39" s="10">
        <v>89</v>
      </c>
      <c r="AE39" s="10">
        <v>89</v>
      </c>
      <c r="AF39" s="10"/>
      <c r="AG39" s="10"/>
      <c r="AH39" s="10"/>
      <c r="AI39" s="10"/>
      <c r="AJ39" s="89"/>
      <c r="AK39" s="10"/>
      <c r="AL39" s="10"/>
      <c r="AM39" s="10"/>
      <c r="AN39" s="10"/>
      <c r="AO39" s="10"/>
      <c r="AP39" s="10">
        <v>0</v>
      </c>
      <c r="AQ39" s="10">
        <v>0</v>
      </c>
      <c r="AR39" s="10">
        <v>29125</v>
      </c>
      <c r="AS39" s="10">
        <v>29125</v>
      </c>
      <c r="AT39" s="10">
        <v>1508</v>
      </c>
      <c r="AU39" s="10">
        <v>17313</v>
      </c>
      <c r="AV39" s="10"/>
      <c r="AW39" s="10"/>
      <c r="AX39" s="10"/>
      <c r="AY39" s="10"/>
      <c r="AZ39" s="10"/>
      <c r="BA39" s="10"/>
      <c r="BB39" s="10">
        <v>212</v>
      </c>
      <c r="BC39" s="10">
        <v>1524</v>
      </c>
      <c r="BD39" s="10"/>
      <c r="BE39" s="10"/>
      <c r="BF39" s="10">
        <v>10418</v>
      </c>
      <c r="BG39" s="10">
        <v>10418</v>
      </c>
      <c r="BH39" s="10"/>
      <c r="BI39" s="10"/>
      <c r="BJ39" s="10"/>
      <c r="BK39" s="10"/>
      <c r="BL39" s="10"/>
      <c r="BM39" s="10"/>
      <c r="BN39" s="10">
        <v>0</v>
      </c>
      <c r="BO39" s="10">
        <v>0</v>
      </c>
      <c r="BP39" s="10"/>
      <c r="BQ39" s="10"/>
      <c r="BR39" s="85">
        <f t="shared" si="8"/>
        <v>65486</v>
      </c>
      <c r="BS39" s="85">
        <f t="shared" si="9"/>
        <v>173975</v>
      </c>
    </row>
    <row r="40" spans="1:71" x14ac:dyDescent="0.25">
      <c r="A40" s="30" t="s">
        <v>290</v>
      </c>
      <c r="B40" s="10">
        <v>1203</v>
      </c>
      <c r="C40" s="10">
        <v>3206</v>
      </c>
      <c r="D40" s="10">
        <v>144424</v>
      </c>
      <c r="E40" s="10">
        <v>332638</v>
      </c>
      <c r="F40" s="10"/>
      <c r="G40" s="10"/>
      <c r="H40" s="10">
        <v>400231</v>
      </c>
      <c r="I40" s="10">
        <v>1237835</v>
      </c>
      <c r="J40" s="10">
        <v>226958</v>
      </c>
      <c r="K40" s="10">
        <v>815281</v>
      </c>
      <c r="L40" s="10">
        <v>110924</v>
      </c>
      <c r="M40" s="10">
        <v>266308</v>
      </c>
      <c r="N40" s="10">
        <v>40516</v>
      </c>
      <c r="O40" s="10">
        <v>211685</v>
      </c>
      <c r="P40" s="10">
        <v>-13738</v>
      </c>
      <c r="Q40" s="10">
        <v>-37806</v>
      </c>
      <c r="R40" s="10">
        <v>479</v>
      </c>
      <c r="S40" s="10">
        <v>47811</v>
      </c>
      <c r="T40" s="10"/>
      <c r="U40" s="10"/>
      <c r="V40" s="10">
        <v>61978</v>
      </c>
      <c r="W40" s="10">
        <v>113193</v>
      </c>
      <c r="X40" s="10">
        <v>546</v>
      </c>
      <c r="Y40" s="10">
        <v>1334</v>
      </c>
      <c r="Z40" s="10">
        <v>-828281</v>
      </c>
      <c r="AA40" s="10">
        <v>-2515718</v>
      </c>
      <c r="AB40" s="10">
        <v>1467083</v>
      </c>
      <c r="AC40" s="10">
        <v>3988165</v>
      </c>
      <c r="AD40" s="10">
        <v>33672</v>
      </c>
      <c r="AE40" s="10">
        <v>106217</v>
      </c>
      <c r="AF40" s="10">
        <v>3148</v>
      </c>
      <c r="AG40" s="10">
        <v>8558</v>
      </c>
      <c r="AH40" s="10">
        <v>2412</v>
      </c>
      <c r="AI40" s="10">
        <v>9712</v>
      </c>
      <c r="AJ40" s="89">
        <v>-25236</v>
      </c>
      <c r="AK40" s="10">
        <v>-81219</v>
      </c>
      <c r="AL40" s="10">
        <v>9883</v>
      </c>
      <c r="AM40" s="10">
        <v>29038</v>
      </c>
      <c r="AN40" s="10">
        <v>228215</v>
      </c>
      <c r="AO40" s="10">
        <v>883352</v>
      </c>
      <c r="AP40" s="10">
        <v>92224.90499999997</v>
      </c>
      <c r="AQ40" s="10">
        <v>483159.44699999999</v>
      </c>
      <c r="AR40" s="10">
        <v>129434</v>
      </c>
      <c r="AS40" s="10">
        <v>602213</v>
      </c>
      <c r="AT40" s="10">
        <v>42667</v>
      </c>
      <c r="AU40" s="10">
        <v>186043</v>
      </c>
      <c r="AV40" s="10">
        <v>21</v>
      </c>
      <c r="AW40" s="10">
        <v>27</v>
      </c>
      <c r="AX40" s="10">
        <v>40278</v>
      </c>
      <c r="AY40" s="10">
        <v>162661</v>
      </c>
      <c r="AZ40" s="10"/>
      <c r="BA40" s="10"/>
      <c r="BB40" s="10">
        <v>657829</v>
      </c>
      <c r="BC40" s="10">
        <v>1934561</v>
      </c>
      <c r="BD40" s="10">
        <v>-63316</v>
      </c>
      <c r="BE40" s="10">
        <v>-182304</v>
      </c>
      <c r="BF40" s="10">
        <v>7333</v>
      </c>
      <c r="BG40" s="10">
        <v>27662</v>
      </c>
      <c r="BH40" s="10">
        <v>85</v>
      </c>
      <c r="BI40" s="10">
        <v>135</v>
      </c>
      <c r="BJ40" s="10"/>
      <c r="BK40" s="10"/>
      <c r="BL40" s="10">
        <v>474495</v>
      </c>
      <c r="BM40" s="10">
        <v>1528908</v>
      </c>
      <c r="BN40" s="10">
        <v>82085</v>
      </c>
      <c r="BO40" s="10">
        <v>204519</v>
      </c>
      <c r="BP40" s="10">
        <v>2768</v>
      </c>
      <c r="BQ40" s="10">
        <v>11496</v>
      </c>
      <c r="BR40" s="85">
        <f t="shared" si="8"/>
        <v>3330320.9050000003</v>
      </c>
      <c r="BS40" s="85">
        <f t="shared" si="9"/>
        <v>10378670.447000001</v>
      </c>
    </row>
    <row r="41" spans="1:71" x14ac:dyDescent="0.25">
      <c r="A41" s="30" t="s">
        <v>239</v>
      </c>
      <c r="B41" s="10">
        <v>399</v>
      </c>
      <c r="C41" s="10">
        <v>-1595</v>
      </c>
      <c r="D41" s="10">
        <v>143319</v>
      </c>
      <c r="E41" s="10">
        <v>305490</v>
      </c>
      <c r="F41" s="10"/>
      <c r="G41" s="10"/>
      <c r="H41" s="10">
        <v>317953</v>
      </c>
      <c r="I41" s="10">
        <v>655493</v>
      </c>
      <c r="J41" s="10">
        <v>186919</v>
      </c>
      <c r="K41" s="10">
        <v>380259</v>
      </c>
      <c r="L41" s="10">
        <v>-20300</v>
      </c>
      <c r="M41" s="10">
        <v>10322</v>
      </c>
      <c r="N41" s="10">
        <v>43473</v>
      </c>
      <c r="O41" s="10">
        <v>100089</v>
      </c>
      <c r="P41" s="10">
        <v>-4412</v>
      </c>
      <c r="Q41" s="10">
        <v>-12707</v>
      </c>
      <c r="R41" s="10">
        <v>7763</v>
      </c>
      <c r="S41" s="10">
        <v>-22180</v>
      </c>
      <c r="T41" s="10"/>
      <c r="U41" s="10"/>
      <c r="V41" s="10">
        <v>-6184</v>
      </c>
      <c r="W41" s="10">
        <v>36365</v>
      </c>
      <c r="X41" s="10">
        <v>3719</v>
      </c>
      <c r="Y41" s="10">
        <v>4583</v>
      </c>
      <c r="Z41" s="10">
        <v>-423947</v>
      </c>
      <c r="AA41" s="10">
        <v>-1342005</v>
      </c>
      <c r="AB41" s="10">
        <v>-768039</v>
      </c>
      <c r="AC41" s="10">
        <v>-2002345</v>
      </c>
      <c r="AD41" s="10">
        <v>103743</v>
      </c>
      <c r="AE41" s="10">
        <v>395529</v>
      </c>
      <c r="AF41" s="10">
        <v>20771</v>
      </c>
      <c r="AG41" s="10">
        <v>60443</v>
      </c>
      <c r="AH41" s="10">
        <v>46661</v>
      </c>
      <c r="AI41" s="10">
        <v>146872</v>
      </c>
      <c r="AJ41" s="89">
        <v>-13420</v>
      </c>
      <c r="AK41" s="10">
        <v>-42597</v>
      </c>
      <c r="AL41" s="10">
        <v>155757</v>
      </c>
      <c r="AM41" s="10">
        <v>434106</v>
      </c>
      <c r="AN41" s="10">
        <v>126248</v>
      </c>
      <c r="AO41" s="10">
        <v>82460</v>
      </c>
      <c r="AP41" s="10">
        <v>733999.90500000003</v>
      </c>
      <c r="AQ41" s="10">
        <v>1867839.34</v>
      </c>
      <c r="AR41" s="10">
        <v>1289745</v>
      </c>
      <c r="AS41" s="10">
        <v>3670227</v>
      </c>
      <c r="AT41" s="10">
        <v>737733</v>
      </c>
      <c r="AU41" s="10">
        <v>1884145</v>
      </c>
      <c r="AV41" s="10">
        <v>342</v>
      </c>
      <c r="AW41" s="10">
        <v>415</v>
      </c>
      <c r="AX41" s="10">
        <v>47751</v>
      </c>
      <c r="AY41" s="10">
        <v>235266</v>
      </c>
      <c r="AZ41" s="10"/>
      <c r="BA41" s="10"/>
      <c r="BB41" s="10">
        <v>-100552</v>
      </c>
      <c r="BC41" s="10">
        <v>-369828</v>
      </c>
      <c r="BD41" s="10">
        <v>48988</v>
      </c>
      <c r="BE41" s="10">
        <v>123596</v>
      </c>
      <c r="BF41" s="10">
        <v>162911</v>
      </c>
      <c r="BG41" s="10">
        <v>517306</v>
      </c>
      <c r="BH41" s="10">
        <v>1202</v>
      </c>
      <c r="BI41" s="10">
        <v>1614</v>
      </c>
      <c r="BJ41" s="10"/>
      <c r="BK41" s="10"/>
      <c r="BL41" s="10">
        <v>-227124</v>
      </c>
      <c r="BM41" s="10">
        <v>-828614</v>
      </c>
      <c r="BN41" s="10">
        <v>444557</v>
      </c>
      <c r="BO41" s="10">
        <v>1368818</v>
      </c>
      <c r="BP41" s="10">
        <v>42347</v>
      </c>
      <c r="BQ41" s="10">
        <v>134226</v>
      </c>
      <c r="BR41" s="85">
        <f t="shared" si="8"/>
        <v>3102322.9050000003</v>
      </c>
      <c r="BS41" s="85">
        <f t="shared" si="9"/>
        <v>7793592.3399999999</v>
      </c>
    </row>
    <row r="42" spans="1:71" x14ac:dyDescent="0.25">
      <c r="A42" s="28"/>
    </row>
    <row r="43" spans="1:71" x14ac:dyDescent="0.25">
      <c r="A43" s="29" t="s">
        <v>234</v>
      </c>
    </row>
    <row r="44" spans="1:71" x14ac:dyDescent="0.25">
      <c r="A44" s="3" t="s">
        <v>0</v>
      </c>
      <c r="B44" s="107" t="s">
        <v>1</v>
      </c>
      <c r="C44" s="108"/>
      <c r="D44" s="107" t="s">
        <v>2</v>
      </c>
      <c r="E44" s="108"/>
      <c r="F44" s="107" t="s">
        <v>3</v>
      </c>
      <c r="G44" s="108"/>
      <c r="H44" s="107" t="s">
        <v>307</v>
      </c>
      <c r="I44" s="108"/>
      <c r="J44" s="107" t="s">
        <v>5</v>
      </c>
      <c r="K44" s="108"/>
      <c r="L44" s="107" t="s">
        <v>6</v>
      </c>
      <c r="M44" s="108"/>
      <c r="N44" s="107" t="s">
        <v>7</v>
      </c>
      <c r="O44" s="108"/>
      <c r="P44" s="107" t="s">
        <v>8</v>
      </c>
      <c r="Q44" s="108"/>
      <c r="R44" s="107" t="s">
        <v>9</v>
      </c>
      <c r="S44" s="108"/>
      <c r="T44" s="107" t="s">
        <v>10</v>
      </c>
      <c r="U44" s="108"/>
      <c r="V44" s="107" t="s">
        <v>11</v>
      </c>
      <c r="W44" s="108"/>
      <c r="X44" s="107" t="s">
        <v>12</v>
      </c>
      <c r="Y44" s="108"/>
      <c r="Z44" s="107" t="s">
        <v>13</v>
      </c>
      <c r="AA44" s="108"/>
      <c r="AB44" s="107" t="s">
        <v>14</v>
      </c>
      <c r="AC44" s="108"/>
      <c r="AD44" s="107" t="s">
        <v>15</v>
      </c>
      <c r="AE44" s="108"/>
      <c r="AF44" s="107" t="s">
        <v>16</v>
      </c>
      <c r="AG44" s="108"/>
      <c r="AH44" s="107" t="s">
        <v>17</v>
      </c>
      <c r="AI44" s="108"/>
      <c r="AJ44" s="107" t="s">
        <v>18</v>
      </c>
      <c r="AK44" s="108"/>
      <c r="AL44" s="107" t="s">
        <v>296</v>
      </c>
      <c r="AM44" s="108"/>
      <c r="AN44" s="107" t="s">
        <v>19</v>
      </c>
      <c r="AO44" s="108"/>
      <c r="AP44" s="107" t="s">
        <v>20</v>
      </c>
      <c r="AQ44" s="108"/>
      <c r="AR44" s="107" t="s">
        <v>21</v>
      </c>
      <c r="AS44" s="108"/>
      <c r="AT44" s="107" t="s">
        <v>22</v>
      </c>
      <c r="AU44" s="108"/>
      <c r="AV44" s="107" t="s">
        <v>23</v>
      </c>
      <c r="AW44" s="108"/>
      <c r="AX44" s="107" t="s">
        <v>24</v>
      </c>
      <c r="AY44" s="108"/>
      <c r="AZ44" s="107" t="s">
        <v>25</v>
      </c>
      <c r="BA44" s="108"/>
      <c r="BB44" s="107" t="s">
        <v>26</v>
      </c>
      <c r="BC44" s="108"/>
      <c r="BD44" s="107" t="s">
        <v>27</v>
      </c>
      <c r="BE44" s="108"/>
      <c r="BF44" s="107" t="s">
        <v>28</v>
      </c>
      <c r="BG44" s="108"/>
      <c r="BH44" s="107" t="s">
        <v>29</v>
      </c>
      <c r="BI44" s="108"/>
      <c r="BJ44" s="107" t="s">
        <v>30</v>
      </c>
      <c r="BK44" s="108"/>
      <c r="BL44" s="107" t="s">
        <v>31</v>
      </c>
      <c r="BM44" s="108"/>
      <c r="BN44" s="111" t="s">
        <v>32</v>
      </c>
      <c r="BO44" s="112"/>
      <c r="BP44" s="107" t="s">
        <v>33</v>
      </c>
      <c r="BQ44" s="108"/>
      <c r="BR44" s="109" t="s">
        <v>34</v>
      </c>
      <c r="BS44" s="110"/>
    </row>
    <row r="45" spans="1:71" ht="30" x14ac:dyDescent="0.25">
      <c r="A45" s="3"/>
      <c r="B45" s="66" t="s">
        <v>294</v>
      </c>
      <c r="C45" s="67" t="s">
        <v>295</v>
      </c>
      <c r="D45" s="66" t="s">
        <v>294</v>
      </c>
      <c r="E45" s="67" t="s">
        <v>295</v>
      </c>
      <c r="F45" s="66" t="s">
        <v>294</v>
      </c>
      <c r="G45" s="67" t="s">
        <v>295</v>
      </c>
      <c r="H45" s="66" t="s">
        <v>294</v>
      </c>
      <c r="I45" s="67" t="s">
        <v>295</v>
      </c>
      <c r="J45" s="66" t="s">
        <v>294</v>
      </c>
      <c r="K45" s="67" t="s">
        <v>295</v>
      </c>
      <c r="L45" s="66" t="s">
        <v>294</v>
      </c>
      <c r="M45" s="67" t="s">
        <v>295</v>
      </c>
      <c r="N45" s="66" t="s">
        <v>294</v>
      </c>
      <c r="O45" s="67" t="s">
        <v>295</v>
      </c>
      <c r="P45" s="66" t="s">
        <v>294</v>
      </c>
      <c r="Q45" s="67" t="s">
        <v>295</v>
      </c>
      <c r="R45" s="66" t="s">
        <v>294</v>
      </c>
      <c r="S45" s="67" t="s">
        <v>295</v>
      </c>
      <c r="T45" s="66" t="s">
        <v>294</v>
      </c>
      <c r="U45" s="67" t="s">
        <v>295</v>
      </c>
      <c r="V45" s="66" t="s">
        <v>294</v>
      </c>
      <c r="W45" s="67" t="s">
        <v>295</v>
      </c>
      <c r="X45" s="66" t="s">
        <v>294</v>
      </c>
      <c r="Y45" s="67" t="s">
        <v>295</v>
      </c>
      <c r="Z45" s="66" t="s">
        <v>294</v>
      </c>
      <c r="AA45" s="67" t="s">
        <v>295</v>
      </c>
      <c r="AB45" s="66" t="s">
        <v>294</v>
      </c>
      <c r="AC45" s="67" t="s">
        <v>295</v>
      </c>
      <c r="AD45" s="66" t="s">
        <v>294</v>
      </c>
      <c r="AE45" s="67" t="s">
        <v>295</v>
      </c>
      <c r="AF45" s="66" t="s">
        <v>294</v>
      </c>
      <c r="AG45" s="67" t="s">
        <v>295</v>
      </c>
      <c r="AH45" s="66" t="s">
        <v>294</v>
      </c>
      <c r="AI45" s="67" t="s">
        <v>295</v>
      </c>
      <c r="AJ45" s="66" t="s">
        <v>294</v>
      </c>
      <c r="AK45" s="67" t="s">
        <v>295</v>
      </c>
      <c r="AL45" s="66" t="s">
        <v>294</v>
      </c>
      <c r="AM45" s="67" t="s">
        <v>295</v>
      </c>
      <c r="AN45" s="66" t="s">
        <v>294</v>
      </c>
      <c r="AO45" s="67" t="s">
        <v>295</v>
      </c>
      <c r="AP45" s="66" t="s">
        <v>294</v>
      </c>
      <c r="AQ45" s="67" t="s">
        <v>295</v>
      </c>
      <c r="AR45" s="66" t="s">
        <v>294</v>
      </c>
      <c r="AS45" s="67" t="s">
        <v>295</v>
      </c>
      <c r="AT45" s="66" t="s">
        <v>294</v>
      </c>
      <c r="AU45" s="67" t="s">
        <v>295</v>
      </c>
      <c r="AV45" s="66" t="s">
        <v>294</v>
      </c>
      <c r="AW45" s="67" t="s">
        <v>295</v>
      </c>
      <c r="AX45" s="66" t="s">
        <v>294</v>
      </c>
      <c r="AY45" s="67" t="s">
        <v>295</v>
      </c>
      <c r="AZ45" s="66" t="s">
        <v>294</v>
      </c>
      <c r="BA45" s="67" t="s">
        <v>295</v>
      </c>
      <c r="BB45" s="66" t="s">
        <v>294</v>
      </c>
      <c r="BC45" s="67" t="s">
        <v>295</v>
      </c>
      <c r="BD45" s="66" t="s">
        <v>294</v>
      </c>
      <c r="BE45" s="67" t="s">
        <v>295</v>
      </c>
      <c r="BF45" s="66" t="s">
        <v>294</v>
      </c>
      <c r="BG45" s="67" t="s">
        <v>295</v>
      </c>
      <c r="BH45" s="66" t="s">
        <v>294</v>
      </c>
      <c r="BI45" s="67" t="s">
        <v>295</v>
      </c>
      <c r="BJ45" s="66" t="s">
        <v>294</v>
      </c>
      <c r="BK45" s="67" t="s">
        <v>295</v>
      </c>
      <c r="BL45" s="66" t="s">
        <v>294</v>
      </c>
      <c r="BM45" s="67" t="s">
        <v>295</v>
      </c>
      <c r="BN45" s="66" t="s">
        <v>294</v>
      </c>
      <c r="BO45" s="67" t="s">
        <v>295</v>
      </c>
      <c r="BP45" s="66" t="s">
        <v>294</v>
      </c>
      <c r="BQ45" s="67" t="s">
        <v>295</v>
      </c>
      <c r="BR45" s="66" t="s">
        <v>294</v>
      </c>
      <c r="BS45" s="67" t="s">
        <v>295</v>
      </c>
    </row>
    <row r="46" spans="1:71" x14ac:dyDescent="0.25">
      <c r="A46" s="30" t="s">
        <v>238</v>
      </c>
      <c r="B46" s="10"/>
      <c r="C46" s="10"/>
      <c r="D46" s="10">
        <v>8314</v>
      </c>
      <c r="E46" s="10">
        <v>25813</v>
      </c>
      <c r="F46" s="10"/>
      <c r="G46" s="10"/>
      <c r="H46" s="10">
        <v>26486</v>
      </c>
      <c r="I46" s="10">
        <v>67588</v>
      </c>
      <c r="J46" s="10">
        <v>85204</v>
      </c>
      <c r="K46" s="10">
        <v>239475</v>
      </c>
      <c r="L46" s="10">
        <v>7640</v>
      </c>
      <c r="M46" s="10">
        <v>17115</v>
      </c>
      <c r="N46" s="10">
        <v>90486</v>
      </c>
      <c r="O46" s="10">
        <v>525931</v>
      </c>
      <c r="P46" s="10">
        <v>2255</v>
      </c>
      <c r="Q46" s="10">
        <v>5627</v>
      </c>
      <c r="R46" s="10">
        <v>-10</v>
      </c>
      <c r="S46" s="10">
        <v>170</v>
      </c>
      <c r="T46" s="10"/>
      <c r="U46" s="10"/>
      <c r="V46" s="10">
        <v>24016</v>
      </c>
      <c r="W46" s="10">
        <v>62746</v>
      </c>
      <c r="X46" s="10">
        <v>56</v>
      </c>
      <c r="Y46" s="10">
        <v>-255</v>
      </c>
      <c r="Z46" s="10">
        <v>229631</v>
      </c>
      <c r="AA46" s="10">
        <v>613508</v>
      </c>
      <c r="AB46" s="10">
        <v>115060</v>
      </c>
      <c r="AC46" s="10">
        <v>361991</v>
      </c>
      <c r="AD46" s="10">
        <v>20839</v>
      </c>
      <c r="AE46" s="10">
        <v>73609</v>
      </c>
      <c r="AF46" s="10">
        <v>1786</v>
      </c>
      <c r="AG46" s="10">
        <v>7871</v>
      </c>
      <c r="AH46" s="10">
        <v>5094</v>
      </c>
      <c r="AI46" s="10">
        <v>15905</v>
      </c>
      <c r="AJ46" s="89">
        <v>1573</v>
      </c>
      <c r="AK46" s="10">
        <v>2916</v>
      </c>
      <c r="AL46" s="10">
        <v>1913</v>
      </c>
      <c r="AM46" s="10">
        <v>6928</v>
      </c>
      <c r="AN46" s="10">
        <v>24852</v>
      </c>
      <c r="AO46" s="10">
        <v>60175</v>
      </c>
      <c r="AP46" s="10">
        <v>19726.856999999996</v>
      </c>
      <c r="AQ46" s="10">
        <v>63595.370999999999</v>
      </c>
      <c r="AR46" s="10">
        <v>59903</v>
      </c>
      <c r="AS46" s="10">
        <v>232402</v>
      </c>
      <c r="AT46" s="10">
        <v>32826</v>
      </c>
      <c r="AU46" s="10">
        <v>101995</v>
      </c>
      <c r="AV46" s="10">
        <v>10</v>
      </c>
      <c r="AW46" s="10">
        <v>35</v>
      </c>
      <c r="AX46" s="10">
        <v>11775</v>
      </c>
      <c r="AY46" s="10">
        <v>37813</v>
      </c>
      <c r="AZ46" s="10"/>
      <c r="BA46" s="10"/>
      <c r="BB46" s="10">
        <v>54245</v>
      </c>
      <c r="BC46" s="10">
        <v>151855</v>
      </c>
      <c r="BD46" s="10">
        <v>15019</v>
      </c>
      <c r="BE46" s="10">
        <v>50594</v>
      </c>
      <c r="BF46" s="10">
        <v>233642</v>
      </c>
      <c r="BG46" s="10">
        <v>613125</v>
      </c>
      <c r="BH46" s="10">
        <v>5744</v>
      </c>
      <c r="BI46" s="10">
        <v>9220</v>
      </c>
      <c r="BJ46" s="10"/>
      <c r="BK46" s="10"/>
      <c r="BL46" s="10">
        <v>24344</v>
      </c>
      <c r="BM46" s="10">
        <v>81697</v>
      </c>
      <c r="BN46" s="10">
        <v>88879</v>
      </c>
      <c r="BO46" s="10">
        <v>225213</v>
      </c>
      <c r="BP46" s="10">
        <v>6991</v>
      </c>
      <c r="BQ46" s="10">
        <v>34800</v>
      </c>
      <c r="BR46" s="85">
        <f t="shared" ref="BR46:BR49" si="10">SUM(B46+D46+F46+H46+J46+L46+N46+P46+R46+T46+V46+X46+Z46+AB46+AD46+AF46+AH46+AJ46+AL46+AN46+AP46+AR46+AT46+AV46+AX46+AZ46+BB46+BD46+BF46+BH46+BJ46+BL46+BN46+BP46)</f>
        <v>1198299.8569999998</v>
      </c>
      <c r="BS46" s="85">
        <f t="shared" ref="BS46:BS49" si="11">SUM(C46+E46+G46+I46+K46+M46+O46+Q46+S46+U46+W46+Y46+AA46+AC46+AE46+AG46+AI46+AK46+AM46+AO46+AQ46+AS46+AU46+AW46+AY46+BA46+BC46+BE46+BG46+BI46+BK46+BM46+BO46+BQ46)</f>
        <v>3689457.3709999998</v>
      </c>
    </row>
    <row r="47" spans="1:71" x14ac:dyDescent="0.25">
      <c r="A47" s="30" t="s">
        <v>289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>
        <v>9</v>
      </c>
      <c r="S47" s="10">
        <v>555</v>
      </c>
      <c r="T47" s="10"/>
      <c r="U47" s="10"/>
      <c r="V47" s="10"/>
      <c r="W47" s="10"/>
      <c r="X47" s="10"/>
      <c r="Y47" s="10"/>
      <c r="Z47" s="10">
        <v>36</v>
      </c>
      <c r="AA47" s="10">
        <v>767</v>
      </c>
      <c r="AB47" s="10">
        <v>962</v>
      </c>
      <c r="AC47" s="10">
        <v>2037</v>
      </c>
      <c r="AD47" s="10"/>
      <c r="AE47" s="10"/>
      <c r="AF47" s="10"/>
      <c r="AG47" s="10"/>
      <c r="AH47" s="10"/>
      <c r="AI47" s="10"/>
      <c r="AJ47" s="89"/>
      <c r="AK47" s="10">
        <v>332</v>
      </c>
      <c r="AL47" s="10"/>
      <c r="AM47" s="10"/>
      <c r="AN47" s="10"/>
      <c r="AO47" s="10"/>
      <c r="AP47" s="10">
        <v>0</v>
      </c>
      <c r="AQ47" s="10">
        <v>0</v>
      </c>
      <c r="AR47" s="10">
        <v>9435</v>
      </c>
      <c r="AS47" s="10">
        <v>19950</v>
      </c>
      <c r="AT47" s="10">
        <v>1</v>
      </c>
      <c r="AU47" s="10">
        <v>213</v>
      </c>
      <c r="AV47" s="10"/>
      <c r="AW47" s="10"/>
      <c r="AX47" s="10"/>
      <c r="AY47" s="10"/>
      <c r="AZ47" s="10"/>
      <c r="BA47" s="10"/>
      <c r="BB47" s="10"/>
      <c r="BC47" s="10">
        <v>5</v>
      </c>
      <c r="BD47" s="10">
        <v>25</v>
      </c>
      <c r="BE47" s="10">
        <v>519</v>
      </c>
      <c r="BF47" s="10"/>
      <c r="BG47" s="10"/>
      <c r="BH47" s="10"/>
      <c r="BI47" s="10"/>
      <c r="BJ47" s="10"/>
      <c r="BK47" s="10"/>
      <c r="BL47" s="10">
        <v>3478</v>
      </c>
      <c r="BM47" s="10">
        <v>4115</v>
      </c>
      <c r="BN47" s="10">
        <v>1</v>
      </c>
      <c r="BO47" s="10">
        <v>0</v>
      </c>
      <c r="BP47" s="10"/>
      <c r="BQ47" s="10"/>
      <c r="BR47" s="85">
        <f t="shared" si="10"/>
        <v>13947</v>
      </c>
      <c r="BS47" s="85">
        <f t="shared" si="11"/>
        <v>28493</v>
      </c>
    </row>
    <row r="48" spans="1:71" x14ac:dyDescent="0.25">
      <c r="A48" s="30" t="s">
        <v>290</v>
      </c>
      <c r="B48" s="10">
        <v>9</v>
      </c>
      <c r="C48" s="10">
        <v>29</v>
      </c>
      <c r="D48" s="10">
        <v>2074</v>
      </c>
      <c r="E48" s="10">
        <v>5293</v>
      </c>
      <c r="F48" s="10"/>
      <c r="G48" s="10"/>
      <c r="H48" s="10">
        <v>16440</v>
      </c>
      <c r="I48" s="10">
        <v>51642</v>
      </c>
      <c r="J48" s="10">
        <v>5396</v>
      </c>
      <c r="K48" s="10">
        <v>15906</v>
      </c>
      <c r="L48" s="10">
        <v>1003</v>
      </c>
      <c r="M48" s="10">
        <v>2353</v>
      </c>
      <c r="N48" s="10">
        <v>105594</v>
      </c>
      <c r="O48" s="10">
        <v>212796</v>
      </c>
      <c r="P48" s="10">
        <v>-4419</v>
      </c>
      <c r="Q48" s="10">
        <v>-11108</v>
      </c>
      <c r="R48" s="10">
        <v>-11</v>
      </c>
      <c r="S48" s="10">
        <v>295</v>
      </c>
      <c r="T48" s="10"/>
      <c r="U48" s="10"/>
      <c r="V48" s="10">
        <v>4259</v>
      </c>
      <c r="W48" s="10">
        <v>1968</v>
      </c>
      <c r="X48" s="10">
        <v>281</v>
      </c>
      <c r="Y48" s="10">
        <v>629</v>
      </c>
      <c r="Z48" s="10">
        <v>-323447</v>
      </c>
      <c r="AA48" s="10">
        <v>-868039</v>
      </c>
      <c r="AB48" s="10">
        <v>171412</v>
      </c>
      <c r="AC48" s="10">
        <v>394566</v>
      </c>
      <c r="AD48" s="10">
        <v>2956</v>
      </c>
      <c r="AE48" s="10">
        <v>10897</v>
      </c>
      <c r="AF48" s="10">
        <v>17550</v>
      </c>
      <c r="AG48" s="10">
        <v>48766</v>
      </c>
      <c r="AH48" s="10">
        <v>328</v>
      </c>
      <c r="AI48" s="10">
        <v>1130</v>
      </c>
      <c r="AJ48" s="89">
        <v>-209</v>
      </c>
      <c r="AK48" s="10">
        <v>-480</v>
      </c>
      <c r="AL48" s="10">
        <v>127</v>
      </c>
      <c r="AM48" s="10">
        <v>1480</v>
      </c>
      <c r="AN48" s="10">
        <v>5678</v>
      </c>
      <c r="AO48" s="10">
        <v>17512</v>
      </c>
      <c r="AP48" s="10">
        <v>0</v>
      </c>
      <c r="AQ48" s="10">
        <v>0</v>
      </c>
      <c r="AR48" s="10">
        <v>4440</v>
      </c>
      <c r="AS48" s="10">
        <v>20571</v>
      </c>
      <c r="AT48" s="10">
        <v>9274</v>
      </c>
      <c r="AU48" s="10">
        <v>7045</v>
      </c>
      <c r="AV48" s="10">
        <v>249</v>
      </c>
      <c r="AW48" s="10">
        <v>317</v>
      </c>
      <c r="AX48" s="10">
        <v>742</v>
      </c>
      <c r="AY48" s="10">
        <v>3229</v>
      </c>
      <c r="AZ48" s="10"/>
      <c r="BA48" s="10"/>
      <c r="BB48" s="10">
        <v>2279</v>
      </c>
      <c r="BC48" s="10">
        <v>13960</v>
      </c>
      <c r="BD48" s="10">
        <v>-1461</v>
      </c>
      <c r="BE48" s="10">
        <v>-15410</v>
      </c>
      <c r="BF48" s="10">
        <v>14068</v>
      </c>
      <c r="BG48" s="10">
        <v>39849</v>
      </c>
      <c r="BH48" s="10">
        <v>7243</v>
      </c>
      <c r="BI48" s="10">
        <v>12232</v>
      </c>
      <c r="BJ48" s="10"/>
      <c r="BK48" s="10"/>
      <c r="BL48" s="10">
        <v>7896</v>
      </c>
      <c r="BM48" s="10">
        <v>13323</v>
      </c>
      <c r="BN48" s="10">
        <v>124181</v>
      </c>
      <c r="BO48" s="10">
        <v>272579</v>
      </c>
      <c r="BP48" s="10">
        <v>14677</v>
      </c>
      <c r="BQ48" s="10">
        <v>33822</v>
      </c>
      <c r="BR48" s="85">
        <f t="shared" si="10"/>
        <v>188609</v>
      </c>
      <c r="BS48" s="85">
        <f t="shared" si="11"/>
        <v>287152</v>
      </c>
    </row>
    <row r="49" spans="1:71" x14ac:dyDescent="0.25">
      <c r="A49" s="30" t="s">
        <v>239</v>
      </c>
      <c r="B49" s="10">
        <v>-9</v>
      </c>
      <c r="C49" s="10">
        <v>-29</v>
      </c>
      <c r="D49" s="10">
        <v>6240</v>
      </c>
      <c r="E49" s="10">
        <v>20520</v>
      </c>
      <c r="F49" s="10"/>
      <c r="G49" s="10"/>
      <c r="H49" s="10">
        <v>10046</v>
      </c>
      <c r="I49" s="10">
        <v>15946</v>
      </c>
      <c r="J49" s="10">
        <v>79808</v>
      </c>
      <c r="K49" s="10">
        <v>223569</v>
      </c>
      <c r="L49" s="10">
        <v>6637</v>
      </c>
      <c r="M49" s="10">
        <v>14762</v>
      </c>
      <c r="N49" s="10">
        <v>-15108</v>
      </c>
      <c r="O49" s="10">
        <v>313135</v>
      </c>
      <c r="P49" s="10">
        <v>-2164</v>
      </c>
      <c r="Q49" s="10">
        <v>-5481</v>
      </c>
      <c r="R49" s="10">
        <v>10</v>
      </c>
      <c r="S49" s="10">
        <v>430</v>
      </c>
      <c r="T49" s="10"/>
      <c r="U49" s="10"/>
      <c r="V49" s="10">
        <v>19757</v>
      </c>
      <c r="W49" s="10">
        <v>60778</v>
      </c>
      <c r="X49" s="10">
        <v>-225</v>
      </c>
      <c r="Y49" s="10">
        <v>-884</v>
      </c>
      <c r="Z49" s="10">
        <v>-93780</v>
      </c>
      <c r="AA49" s="10">
        <v>-253764</v>
      </c>
      <c r="AB49" s="10">
        <v>-55390</v>
      </c>
      <c r="AC49" s="10">
        <v>-30538</v>
      </c>
      <c r="AD49" s="10">
        <v>17883</v>
      </c>
      <c r="AE49" s="10">
        <v>62712</v>
      </c>
      <c r="AF49" s="10">
        <v>-15764</v>
      </c>
      <c r="AG49" s="10">
        <v>-40895</v>
      </c>
      <c r="AH49" s="10">
        <v>4766</v>
      </c>
      <c r="AI49" s="10">
        <v>14776</v>
      </c>
      <c r="AJ49" s="89">
        <v>1364</v>
      </c>
      <c r="AK49" s="10">
        <v>2768</v>
      </c>
      <c r="AL49" s="10">
        <v>1786</v>
      </c>
      <c r="AM49" s="10">
        <v>5448</v>
      </c>
      <c r="AN49" s="10">
        <v>19174</v>
      </c>
      <c r="AO49" s="10">
        <v>42663</v>
      </c>
      <c r="AP49" s="10">
        <v>19726.856999999996</v>
      </c>
      <c r="AQ49" s="10">
        <v>63595.370999999999</v>
      </c>
      <c r="AR49" s="10">
        <v>64898</v>
      </c>
      <c r="AS49" s="10">
        <v>231781</v>
      </c>
      <c r="AT49" s="10">
        <v>23553</v>
      </c>
      <c r="AU49" s="10">
        <v>95163</v>
      </c>
      <c r="AV49" s="10">
        <v>-240</v>
      </c>
      <c r="AW49" s="10">
        <v>-282</v>
      </c>
      <c r="AX49" s="10">
        <v>11033</v>
      </c>
      <c r="AY49" s="10">
        <v>34584</v>
      </c>
      <c r="AZ49" s="10"/>
      <c r="BA49" s="10"/>
      <c r="BB49" s="10">
        <v>51966</v>
      </c>
      <c r="BC49" s="10">
        <v>137900</v>
      </c>
      <c r="BD49" s="10">
        <v>13583</v>
      </c>
      <c r="BE49" s="10">
        <v>35703</v>
      </c>
      <c r="BF49" s="10">
        <v>219574</v>
      </c>
      <c r="BG49" s="10">
        <v>573276</v>
      </c>
      <c r="BH49" s="10">
        <v>-1499</v>
      </c>
      <c r="BI49" s="10">
        <v>-3012</v>
      </c>
      <c r="BJ49" s="10"/>
      <c r="BK49" s="10"/>
      <c r="BL49" s="10">
        <v>19926</v>
      </c>
      <c r="BM49" s="10">
        <v>72489</v>
      </c>
      <c r="BN49" s="10">
        <v>-35301</v>
      </c>
      <c r="BO49" s="10">
        <v>-47366</v>
      </c>
      <c r="BP49" s="10">
        <v>-7686</v>
      </c>
      <c r="BQ49" s="10">
        <v>978</v>
      </c>
      <c r="BR49" s="85">
        <f t="shared" si="10"/>
        <v>364564.85699999996</v>
      </c>
      <c r="BS49" s="85">
        <f t="shared" si="11"/>
        <v>1640725.371</v>
      </c>
    </row>
    <row r="50" spans="1:71" x14ac:dyDescent="0.25">
      <c r="A50" s="28"/>
    </row>
    <row r="51" spans="1:71" x14ac:dyDescent="0.25">
      <c r="A51" s="29" t="s">
        <v>235</v>
      </c>
    </row>
    <row r="52" spans="1:71" x14ac:dyDescent="0.25">
      <c r="A52" s="3" t="s">
        <v>0</v>
      </c>
      <c r="B52" s="107" t="s">
        <v>1</v>
      </c>
      <c r="C52" s="108"/>
      <c r="D52" s="107" t="s">
        <v>2</v>
      </c>
      <c r="E52" s="108"/>
      <c r="F52" s="107" t="s">
        <v>3</v>
      </c>
      <c r="G52" s="108"/>
      <c r="H52" s="107" t="s">
        <v>307</v>
      </c>
      <c r="I52" s="108"/>
      <c r="J52" s="107" t="s">
        <v>5</v>
      </c>
      <c r="K52" s="108"/>
      <c r="L52" s="107" t="s">
        <v>6</v>
      </c>
      <c r="M52" s="108"/>
      <c r="N52" s="107" t="s">
        <v>7</v>
      </c>
      <c r="O52" s="108"/>
      <c r="P52" s="107" t="s">
        <v>8</v>
      </c>
      <c r="Q52" s="108"/>
      <c r="R52" s="107" t="s">
        <v>9</v>
      </c>
      <c r="S52" s="108"/>
      <c r="T52" s="107" t="s">
        <v>10</v>
      </c>
      <c r="U52" s="108"/>
      <c r="V52" s="107" t="s">
        <v>11</v>
      </c>
      <c r="W52" s="108"/>
      <c r="X52" s="107" t="s">
        <v>12</v>
      </c>
      <c r="Y52" s="108"/>
      <c r="Z52" s="107" t="s">
        <v>13</v>
      </c>
      <c r="AA52" s="108"/>
      <c r="AB52" s="107" t="s">
        <v>14</v>
      </c>
      <c r="AC52" s="108"/>
      <c r="AD52" s="107" t="s">
        <v>15</v>
      </c>
      <c r="AE52" s="108"/>
      <c r="AF52" s="107" t="s">
        <v>16</v>
      </c>
      <c r="AG52" s="108"/>
      <c r="AH52" s="107" t="s">
        <v>17</v>
      </c>
      <c r="AI52" s="108"/>
      <c r="AJ52" s="107" t="s">
        <v>18</v>
      </c>
      <c r="AK52" s="108"/>
      <c r="AL52" s="107" t="s">
        <v>296</v>
      </c>
      <c r="AM52" s="108"/>
      <c r="AN52" s="107" t="s">
        <v>19</v>
      </c>
      <c r="AO52" s="108"/>
      <c r="AP52" s="107" t="s">
        <v>20</v>
      </c>
      <c r="AQ52" s="108"/>
      <c r="AR52" s="107" t="s">
        <v>21</v>
      </c>
      <c r="AS52" s="108"/>
      <c r="AT52" s="107" t="s">
        <v>22</v>
      </c>
      <c r="AU52" s="108"/>
      <c r="AV52" s="107" t="s">
        <v>23</v>
      </c>
      <c r="AW52" s="108"/>
      <c r="AX52" s="107" t="s">
        <v>24</v>
      </c>
      <c r="AY52" s="108"/>
      <c r="AZ52" s="107" t="s">
        <v>25</v>
      </c>
      <c r="BA52" s="108"/>
      <c r="BB52" s="107" t="s">
        <v>26</v>
      </c>
      <c r="BC52" s="108"/>
      <c r="BD52" s="107" t="s">
        <v>27</v>
      </c>
      <c r="BE52" s="108"/>
      <c r="BF52" s="107" t="s">
        <v>28</v>
      </c>
      <c r="BG52" s="108"/>
      <c r="BH52" s="107" t="s">
        <v>29</v>
      </c>
      <c r="BI52" s="108"/>
      <c r="BJ52" s="107" t="s">
        <v>30</v>
      </c>
      <c r="BK52" s="108"/>
      <c r="BL52" s="107" t="s">
        <v>31</v>
      </c>
      <c r="BM52" s="108"/>
      <c r="BN52" s="111" t="s">
        <v>32</v>
      </c>
      <c r="BO52" s="112"/>
      <c r="BP52" s="107" t="s">
        <v>33</v>
      </c>
      <c r="BQ52" s="108"/>
      <c r="BR52" s="109" t="s">
        <v>34</v>
      </c>
      <c r="BS52" s="110"/>
    </row>
    <row r="53" spans="1:71" ht="30" x14ac:dyDescent="0.25">
      <c r="A53" s="3"/>
      <c r="B53" s="66" t="s">
        <v>294</v>
      </c>
      <c r="C53" s="67" t="s">
        <v>295</v>
      </c>
      <c r="D53" s="66" t="s">
        <v>294</v>
      </c>
      <c r="E53" s="67" t="s">
        <v>295</v>
      </c>
      <c r="F53" s="66" t="s">
        <v>294</v>
      </c>
      <c r="G53" s="67" t="s">
        <v>295</v>
      </c>
      <c r="H53" s="66" t="s">
        <v>294</v>
      </c>
      <c r="I53" s="67" t="s">
        <v>295</v>
      </c>
      <c r="J53" s="66" t="s">
        <v>294</v>
      </c>
      <c r="K53" s="67" t="s">
        <v>295</v>
      </c>
      <c r="L53" s="66" t="s">
        <v>294</v>
      </c>
      <c r="M53" s="67" t="s">
        <v>295</v>
      </c>
      <c r="N53" s="66" t="s">
        <v>294</v>
      </c>
      <c r="O53" s="67" t="s">
        <v>295</v>
      </c>
      <c r="P53" s="66" t="s">
        <v>294</v>
      </c>
      <c r="Q53" s="67" t="s">
        <v>295</v>
      </c>
      <c r="R53" s="66" t="s">
        <v>294</v>
      </c>
      <c r="S53" s="67" t="s">
        <v>295</v>
      </c>
      <c r="T53" s="66" t="s">
        <v>294</v>
      </c>
      <c r="U53" s="67" t="s">
        <v>295</v>
      </c>
      <c r="V53" s="66" t="s">
        <v>294</v>
      </c>
      <c r="W53" s="67" t="s">
        <v>295</v>
      </c>
      <c r="X53" s="66" t="s">
        <v>294</v>
      </c>
      <c r="Y53" s="67" t="s">
        <v>295</v>
      </c>
      <c r="Z53" s="66" t="s">
        <v>294</v>
      </c>
      <c r="AA53" s="67" t="s">
        <v>295</v>
      </c>
      <c r="AB53" s="66" t="s">
        <v>294</v>
      </c>
      <c r="AC53" s="67" t="s">
        <v>295</v>
      </c>
      <c r="AD53" s="66" t="s">
        <v>294</v>
      </c>
      <c r="AE53" s="67" t="s">
        <v>295</v>
      </c>
      <c r="AF53" s="66" t="s">
        <v>294</v>
      </c>
      <c r="AG53" s="67" t="s">
        <v>295</v>
      </c>
      <c r="AH53" s="66" t="s">
        <v>294</v>
      </c>
      <c r="AI53" s="67" t="s">
        <v>295</v>
      </c>
      <c r="AJ53" s="66" t="s">
        <v>294</v>
      </c>
      <c r="AK53" s="67" t="s">
        <v>295</v>
      </c>
      <c r="AL53" s="66" t="s">
        <v>294</v>
      </c>
      <c r="AM53" s="67" t="s">
        <v>295</v>
      </c>
      <c r="AN53" s="66" t="s">
        <v>294</v>
      </c>
      <c r="AO53" s="67" t="s">
        <v>295</v>
      </c>
      <c r="AP53" s="66" t="s">
        <v>294</v>
      </c>
      <c r="AQ53" s="67" t="s">
        <v>295</v>
      </c>
      <c r="AR53" s="66" t="s">
        <v>294</v>
      </c>
      <c r="AS53" s="67" t="s">
        <v>295</v>
      </c>
      <c r="AT53" s="66" t="s">
        <v>294</v>
      </c>
      <c r="AU53" s="67" t="s">
        <v>295</v>
      </c>
      <c r="AV53" s="66" t="s">
        <v>294</v>
      </c>
      <c r="AW53" s="67" t="s">
        <v>295</v>
      </c>
      <c r="AX53" s="66" t="s">
        <v>294</v>
      </c>
      <c r="AY53" s="67" t="s">
        <v>295</v>
      </c>
      <c r="AZ53" s="66" t="s">
        <v>294</v>
      </c>
      <c r="BA53" s="67" t="s">
        <v>295</v>
      </c>
      <c r="BB53" s="66" t="s">
        <v>294</v>
      </c>
      <c r="BC53" s="67" t="s">
        <v>295</v>
      </c>
      <c r="BD53" s="66" t="s">
        <v>294</v>
      </c>
      <c r="BE53" s="67" t="s">
        <v>295</v>
      </c>
      <c r="BF53" s="66" t="s">
        <v>294</v>
      </c>
      <c r="BG53" s="67" t="s">
        <v>295</v>
      </c>
      <c r="BH53" s="66" t="s">
        <v>294</v>
      </c>
      <c r="BI53" s="67" t="s">
        <v>295</v>
      </c>
      <c r="BJ53" s="66" t="s">
        <v>294</v>
      </c>
      <c r="BK53" s="67" t="s">
        <v>295</v>
      </c>
      <c r="BL53" s="66" t="s">
        <v>294</v>
      </c>
      <c r="BM53" s="67" t="s">
        <v>295</v>
      </c>
      <c r="BN53" s="66" t="s">
        <v>294</v>
      </c>
      <c r="BO53" s="67" t="s">
        <v>295</v>
      </c>
      <c r="BP53" s="66" t="s">
        <v>294</v>
      </c>
      <c r="BQ53" s="67" t="s">
        <v>295</v>
      </c>
      <c r="BR53" s="66" t="s">
        <v>294</v>
      </c>
      <c r="BS53" s="67" t="s">
        <v>295</v>
      </c>
    </row>
    <row r="54" spans="1:71" x14ac:dyDescent="0.25">
      <c r="A54" s="30" t="s">
        <v>238</v>
      </c>
      <c r="B54" s="10"/>
      <c r="C54" s="10"/>
      <c r="D54" s="10"/>
      <c r="E54" s="10"/>
      <c r="F54" s="10"/>
      <c r="G54" s="10"/>
      <c r="H54" s="10"/>
      <c r="I54" s="10"/>
      <c r="J54" s="10">
        <v>6240</v>
      </c>
      <c r="K54" s="10">
        <v>23989</v>
      </c>
      <c r="L54" s="10">
        <v>8165</v>
      </c>
      <c r="M54" s="10">
        <v>22076</v>
      </c>
      <c r="N54" s="10">
        <v>1388</v>
      </c>
      <c r="O54" s="10">
        <v>4925</v>
      </c>
      <c r="P54" s="10"/>
      <c r="Q54" s="10"/>
      <c r="R54" s="10"/>
      <c r="S54" s="10"/>
      <c r="T54" s="10"/>
      <c r="U54" s="10"/>
      <c r="V54" s="10">
        <v>5969</v>
      </c>
      <c r="W54" s="10">
        <v>16706</v>
      </c>
      <c r="X54" s="10"/>
      <c r="Y54" s="10"/>
      <c r="Z54" s="10">
        <v>642</v>
      </c>
      <c r="AA54" s="10">
        <v>2052</v>
      </c>
      <c r="AB54" s="10">
        <v>6543</v>
      </c>
      <c r="AC54" s="10">
        <v>20694</v>
      </c>
      <c r="AD54" s="10">
        <v>22912</v>
      </c>
      <c r="AE54" s="10">
        <v>70976</v>
      </c>
      <c r="AF54" s="10"/>
      <c r="AG54" s="10"/>
      <c r="AH54" s="10">
        <v>4277</v>
      </c>
      <c r="AI54" s="10">
        <v>9945</v>
      </c>
      <c r="AJ54" s="89">
        <v>11</v>
      </c>
      <c r="AK54" s="10">
        <v>38622</v>
      </c>
      <c r="AL54" s="10"/>
      <c r="AM54" s="10"/>
      <c r="AN54" s="10"/>
      <c r="AO54" s="10"/>
      <c r="AP54" s="10">
        <v>13989.862399662867</v>
      </c>
      <c r="AQ54" s="10">
        <v>51971.91439966287</v>
      </c>
      <c r="AR54" s="10">
        <v>184601</v>
      </c>
      <c r="AS54" s="10">
        <v>631064</v>
      </c>
      <c r="AT54" s="10">
        <v>15678</v>
      </c>
      <c r="AU54" s="10">
        <v>53770</v>
      </c>
      <c r="AV54" s="10">
        <v>1884</v>
      </c>
      <c r="AW54" s="10">
        <v>6703</v>
      </c>
      <c r="AX54" s="10">
        <v>6522</v>
      </c>
      <c r="AY54" s="10">
        <v>25197</v>
      </c>
      <c r="AZ54" s="10"/>
      <c r="BA54" s="10"/>
      <c r="BB54" s="10"/>
      <c r="BC54" s="10"/>
      <c r="BD54" s="10">
        <v>3398</v>
      </c>
      <c r="BE54" s="10">
        <v>7541</v>
      </c>
      <c r="BF54" s="10">
        <v>3809</v>
      </c>
      <c r="BG54" s="10">
        <v>13513</v>
      </c>
      <c r="BH54" s="10">
        <v>89</v>
      </c>
      <c r="BI54" s="10">
        <v>434</v>
      </c>
      <c r="BJ54" s="10"/>
      <c r="BK54" s="10"/>
      <c r="BL54" s="10">
        <v>83827</v>
      </c>
      <c r="BM54" s="10">
        <v>314920</v>
      </c>
      <c r="BN54" s="10">
        <v>20200</v>
      </c>
      <c r="BO54" s="10">
        <v>66679</v>
      </c>
      <c r="BP54" s="10">
        <v>767</v>
      </c>
      <c r="BQ54" s="10">
        <v>2446</v>
      </c>
      <c r="BR54" s="85">
        <f t="shared" ref="BR54:BR57" si="12">SUM(B54+D54+F54+H54+J54+L54+N54+P54+R54+T54+V54+X54+Z54+AB54+AD54+AF54+AH54+AJ54+AL54+AN54+AP54+AR54+AT54+AV54+AX54+AZ54+BB54+BD54+BF54+BH54+BJ54+BL54+BN54+BP54)</f>
        <v>390911.86239966284</v>
      </c>
      <c r="BS54" s="85">
        <f t="shared" ref="BS54:BS57" si="13">SUM(C54+E54+G54+I54+K54+M54+O54+Q54+S54+U54+W54+Y54+AA54+AC54+AE54+AG54+AI54+AK54+AM54+AO54+AQ54+AS54+AU54+AW54+AY54+BA54+BC54+BE54+BG54+BI54+BK54+BM54+BO54+BQ54)</f>
        <v>1384223.914399663</v>
      </c>
    </row>
    <row r="55" spans="1:71" x14ac:dyDescent="0.25">
      <c r="A55" s="30" t="s">
        <v>289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>
        <v>68</v>
      </c>
      <c r="M55" s="10">
        <v>348</v>
      </c>
      <c r="N55" s="10"/>
      <c r="O55" s="10"/>
      <c r="P55" s="10"/>
      <c r="Q55" s="10"/>
      <c r="R55" s="10"/>
      <c r="S55" s="10"/>
      <c r="T55" s="10"/>
      <c r="U55" s="10"/>
      <c r="V55" s="10">
        <v>1245</v>
      </c>
      <c r="W55" s="10">
        <v>3699</v>
      </c>
      <c r="X55" s="10"/>
      <c r="Y55" s="10"/>
      <c r="Z55" s="10"/>
      <c r="AA55" s="10">
        <v>320</v>
      </c>
      <c r="AB55" s="10"/>
      <c r="AC55" s="10"/>
      <c r="AD55" s="10">
        <v>465</v>
      </c>
      <c r="AE55" s="10">
        <v>1579</v>
      </c>
      <c r="AF55" s="10"/>
      <c r="AG55" s="10"/>
      <c r="AH55" s="10"/>
      <c r="AI55" s="10"/>
      <c r="AJ55" s="89"/>
      <c r="AK55" s="10"/>
      <c r="AL55" s="10"/>
      <c r="AM55" s="10"/>
      <c r="AN55" s="10"/>
      <c r="AO55" s="10"/>
      <c r="AP55" s="10">
        <v>0</v>
      </c>
      <c r="AQ55" s="10">
        <v>0</v>
      </c>
      <c r="AR55" s="10">
        <v>130</v>
      </c>
      <c r="AS55" s="10">
        <v>458</v>
      </c>
      <c r="AT55" s="10">
        <v>1</v>
      </c>
      <c r="AU55" s="10">
        <v>44</v>
      </c>
      <c r="AV55" s="10">
        <v>3904</v>
      </c>
      <c r="AW55" s="10">
        <v>5386</v>
      </c>
      <c r="AX55" s="10"/>
      <c r="AY55" s="10">
        <v>136</v>
      </c>
      <c r="AZ55" s="10"/>
      <c r="BA55" s="10"/>
      <c r="BB55" s="10"/>
      <c r="BC55" s="10"/>
      <c r="BD55" s="10"/>
      <c r="BE55" s="10"/>
      <c r="BF55" s="10">
        <v>1948</v>
      </c>
      <c r="BG55" s="10">
        <v>3311</v>
      </c>
      <c r="BH55" s="10"/>
      <c r="BI55" s="10"/>
      <c r="BJ55" s="10"/>
      <c r="BK55" s="10"/>
      <c r="BL55" s="10">
        <v>22097</v>
      </c>
      <c r="BM55" s="10">
        <v>50751</v>
      </c>
      <c r="BN55" s="10">
        <v>-1</v>
      </c>
      <c r="BO55" s="10">
        <v>399</v>
      </c>
      <c r="BP55" s="10"/>
      <c r="BQ55" s="10"/>
      <c r="BR55" s="85">
        <f t="shared" si="12"/>
        <v>29857</v>
      </c>
      <c r="BS55" s="85">
        <f t="shared" si="13"/>
        <v>66431</v>
      </c>
    </row>
    <row r="56" spans="1:71" x14ac:dyDescent="0.25">
      <c r="A56" s="30" t="s">
        <v>290</v>
      </c>
      <c r="B56" s="10">
        <v>9973</v>
      </c>
      <c r="C56" s="10">
        <v>30159</v>
      </c>
      <c r="D56" s="10"/>
      <c r="E56" s="10"/>
      <c r="F56" s="10"/>
      <c r="G56" s="10"/>
      <c r="H56" s="10"/>
      <c r="I56" s="10"/>
      <c r="J56" s="10">
        <v>2995</v>
      </c>
      <c r="K56" s="10">
        <v>16617</v>
      </c>
      <c r="L56" s="10">
        <v>2529</v>
      </c>
      <c r="M56" s="10">
        <v>10921</v>
      </c>
      <c r="N56" s="10">
        <v>1353</v>
      </c>
      <c r="O56" s="10">
        <v>3097</v>
      </c>
      <c r="P56" s="10"/>
      <c r="Q56" s="10"/>
      <c r="R56" s="10"/>
      <c r="S56" s="10"/>
      <c r="T56" s="10"/>
      <c r="U56" s="10"/>
      <c r="V56" s="10">
        <v>5605</v>
      </c>
      <c r="W56" s="10">
        <v>23240</v>
      </c>
      <c r="X56" s="10"/>
      <c r="Y56" s="10"/>
      <c r="Z56" s="10">
        <v>-117</v>
      </c>
      <c r="AA56" s="10">
        <v>-317</v>
      </c>
      <c r="AB56" s="10">
        <v>2143</v>
      </c>
      <c r="AC56" s="10">
        <v>15029</v>
      </c>
      <c r="AD56" s="10">
        <v>4214</v>
      </c>
      <c r="AE56" s="10">
        <v>10909</v>
      </c>
      <c r="AF56" s="10"/>
      <c r="AG56" s="10"/>
      <c r="AH56" s="10">
        <v>241</v>
      </c>
      <c r="AI56" s="10">
        <v>682</v>
      </c>
      <c r="AJ56" s="89">
        <v>-17</v>
      </c>
      <c r="AK56" s="10">
        <v>-81219</v>
      </c>
      <c r="AL56" s="10"/>
      <c r="AM56" s="10"/>
      <c r="AN56" s="10"/>
      <c r="AO56" s="10"/>
      <c r="AP56" s="10">
        <v>0</v>
      </c>
      <c r="AQ56" s="10">
        <v>0</v>
      </c>
      <c r="AR56" s="10">
        <v>32026</v>
      </c>
      <c r="AS56" s="10">
        <v>122051</v>
      </c>
      <c r="AT56" s="10">
        <v>-6215</v>
      </c>
      <c r="AU56" s="10">
        <v>6902</v>
      </c>
      <c r="AV56" s="10">
        <v>95</v>
      </c>
      <c r="AW56" s="10">
        <v>528</v>
      </c>
      <c r="AX56" s="10">
        <v>2607</v>
      </c>
      <c r="AY56" s="10">
        <v>5951</v>
      </c>
      <c r="AZ56" s="10"/>
      <c r="BA56" s="10"/>
      <c r="BB56" s="10"/>
      <c r="BC56" s="10"/>
      <c r="BD56" s="10">
        <v>-93</v>
      </c>
      <c r="BE56" s="10">
        <v>-6649</v>
      </c>
      <c r="BF56" s="10">
        <v>9682</v>
      </c>
      <c r="BG56" s="10">
        <v>30380</v>
      </c>
      <c r="BH56" s="10">
        <v>5</v>
      </c>
      <c r="BI56" s="10">
        <v>31</v>
      </c>
      <c r="BJ56" s="10"/>
      <c r="BK56" s="10"/>
      <c r="BL56" s="10">
        <v>166665</v>
      </c>
      <c r="BM56" s="10">
        <v>514808</v>
      </c>
      <c r="BN56" s="10">
        <v>1472</v>
      </c>
      <c r="BO56" s="10">
        <v>6141</v>
      </c>
      <c r="BP56" s="10">
        <v>411</v>
      </c>
      <c r="BQ56" s="10">
        <v>2096</v>
      </c>
      <c r="BR56" s="85">
        <f t="shared" si="12"/>
        <v>235574</v>
      </c>
      <c r="BS56" s="85">
        <f t="shared" si="13"/>
        <v>711357</v>
      </c>
    </row>
    <row r="57" spans="1:71" x14ac:dyDescent="0.25">
      <c r="A57" s="30" t="s">
        <v>239</v>
      </c>
      <c r="B57" s="10">
        <v>-9973</v>
      </c>
      <c r="C57" s="10">
        <v>-30159</v>
      </c>
      <c r="D57" s="10"/>
      <c r="E57" s="10"/>
      <c r="F57" s="10"/>
      <c r="G57" s="10"/>
      <c r="H57" s="10"/>
      <c r="I57" s="10"/>
      <c r="J57" s="10">
        <v>3245</v>
      </c>
      <c r="K57" s="10">
        <v>7372</v>
      </c>
      <c r="L57" s="10">
        <v>5703</v>
      </c>
      <c r="M57" s="10">
        <v>11503</v>
      </c>
      <c r="N57" s="10">
        <v>35</v>
      </c>
      <c r="O57" s="10">
        <v>1828</v>
      </c>
      <c r="P57" s="10"/>
      <c r="Q57" s="10"/>
      <c r="R57" s="10"/>
      <c r="S57" s="10"/>
      <c r="T57" s="10"/>
      <c r="U57" s="10"/>
      <c r="V57" s="10">
        <v>1609</v>
      </c>
      <c r="W57" s="10">
        <v>-2834</v>
      </c>
      <c r="X57" s="10"/>
      <c r="Y57" s="10"/>
      <c r="Z57" s="10">
        <v>526</v>
      </c>
      <c r="AA57" s="10">
        <v>2055</v>
      </c>
      <c r="AB57" s="10">
        <v>4400</v>
      </c>
      <c r="AC57" s="10">
        <v>5665</v>
      </c>
      <c r="AD57" s="10">
        <v>19163</v>
      </c>
      <c r="AE57" s="10">
        <v>61646</v>
      </c>
      <c r="AF57" s="10"/>
      <c r="AG57" s="10"/>
      <c r="AH57" s="10">
        <v>4036</v>
      </c>
      <c r="AI57" s="10">
        <v>9262</v>
      </c>
      <c r="AJ57" s="89">
        <v>-6</v>
      </c>
      <c r="AK57" s="10">
        <v>-42597</v>
      </c>
      <c r="AL57" s="10"/>
      <c r="AM57" s="10"/>
      <c r="AN57" s="10"/>
      <c r="AO57" s="10"/>
      <c r="AP57" s="10">
        <v>13989.862399662867</v>
      </c>
      <c r="AQ57" s="10">
        <v>51971.91439966287</v>
      </c>
      <c r="AR57" s="10">
        <v>152705</v>
      </c>
      <c r="AS57" s="10">
        <v>509471</v>
      </c>
      <c r="AT57" s="10">
        <v>21894</v>
      </c>
      <c r="AU57" s="10">
        <v>46912</v>
      </c>
      <c r="AV57" s="10">
        <v>5692</v>
      </c>
      <c r="AW57" s="10">
        <v>11560</v>
      </c>
      <c r="AX57" s="10">
        <v>3915</v>
      </c>
      <c r="AY57" s="10">
        <v>19382</v>
      </c>
      <c r="AZ57" s="10"/>
      <c r="BA57" s="10"/>
      <c r="BB57" s="10"/>
      <c r="BC57" s="10"/>
      <c r="BD57" s="10">
        <v>3305</v>
      </c>
      <c r="BE57" s="10">
        <v>892</v>
      </c>
      <c r="BF57" s="10">
        <v>-3925</v>
      </c>
      <c r="BG57" s="10">
        <v>-13556</v>
      </c>
      <c r="BH57" s="10">
        <v>84</v>
      </c>
      <c r="BI57" s="10">
        <v>403</v>
      </c>
      <c r="BJ57" s="10"/>
      <c r="BK57" s="10"/>
      <c r="BL57" s="10">
        <v>-60741</v>
      </c>
      <c r="BM57" s="10">
        <v>-149137</v>
      </c>
      <c r="BN57" s="10">
        <v>18727</v>
      </c>
      <c r="BO57" s="10">
        <v>60937</v>
      </c>
      <c r="BP57" s="10">
        <v>356</v>
      </c>
      <c r="BQ57" s="10">
        <v>350</v>
      </c>
      <c r="BR57" s="85">
        <f t="shared" si="12"/>
        <v>184739.86239966287</v>
      </c>
      <c r="BS57" s="85">
        <f t="shared" si="13"/>
        <v>562926.91439966287</v>
      </c>
    </row>
    <row r="58" spans="1:71" x14ac:dyDescent="0.25">
      <c r="A58" s="31"/>
    </row>
    <row r="59" spans="1:71" x14ac:dyDescent="0.25">
      <c r="A59" s="32" t="s">
        <v>236</v>
      </c>
    </row>
    <row r="60" spans="1:71" x14ac:dyDescent="0.25">
      <c r="A60" s="3" t="s">
        <v>0</v>
      </c>
      <c r="B60" s="107" t="s">
        <v>1</v>
      </c>
      <c r="C60" s="108"/>
      <c r="D60" s="107" t="s">
        <v>2</v>
      </c>
      <c r="E60" s="108"/>
      <c r="F60" s="107" t="s">
        <v>3</v>
      </c>
      <c r="G60" s="108"/>
      <c r="H60" s="107" t="s">
        <v>307</v>
      </c>
      <c r="I60" s="108"/>
      <c r="J60" s="107" t="s">
        <v>5</v>
      </c>
      <c r="K60" s="108"/>
      <c r="L60" s="107" t="s">
        <v>6</v>
      </c>
      <c r="M60" s="108"/>
      <c r="N60" s="107" t="s">
        <v>7</v>
      </c>
      <c r="O60" s="108"/>
      <c r="P60" s="107" t="s">
        <v>8</v>
      </c>
      <c r="Q60" s="108"/>
      <c r="R60" s="107" t="s">
        <v>9</v>
      </c>
      <c r="S60" s="108"/>
      <c r="T60" s="107" t="s">
        <v>10</v>
      </c>
      <c r="U60" s="108"/>
      <c r="V60" s="107" t="s">
        <v>11</v>
      </c>
      <c r="W60" s="108"/>
      <c r="X60" s="107" t="s">
        <v>12</v>
      </c>
      <c r="Y60" s="108"/>
      <c r="Z60" s="107" t="s">
        <v>13</v>
      </c>
      <c r="AA60" s="108"/>
      <c r="AB60" s="107" t="s">
        <v>14</v>
      </c>
      <c r="AC60" s="108"/>
      <c r="AD60" s="107" t="s">
        <v>15</v>
      </c>
      <c r="AE60" s="108"/>
      <c r="AF60" s="107" t="s">
        <v>16</v>
      </c>
      <c r="AG60" s="108"/>
      <c r="AH60" s="107" t="s">
        <v>17</v>
      </c>
      <c r="AI60" s="108"/>
      <c r="AJ60" s="107" t="s">
        <v>18</v>
      </c>
      <c r="AK60" s="108"/>
      <c r="AL60" s="107" t="s">
        <v>296</v>
      </c>
      <c r="AM60" s="108"/>
      <c r="AN60" s="107" t="s">
        <v>19</v>
      </c>
      <c r="AO60" s="108"/>
      <c r="AP60" s="107" t="s">
        <v>20</v>
      </c>
      <c r="AQ60" s="108"/>
      <c r="AR60" s="107" t="s">
        <v>21</v>
      </c>
      <c r="AS60" s="108"/>
      <c r="AT60" s="107" t="s">
        <v>22</v>
      </c>
      <c r="AU60" s="108"/>
      <c r="AV60" s="107" t="s">
        <v>23</v>
      </c>
      <c r="AW60" s="108"/>
      <c r="AX60" s="107" t="s">
        <v>24</v>
      </c>
      <c r="AY60" s="108"/>
      <c r="AZ60" s="107" t="s">
        <v>25</v>
      </c>
      <c r="BA60" s="108"/>
      <c r="BB60" s="107" t="s">
        <v>26</v>
      </c>
      <c r="BC60" s="108"/>
      <c r="BD60" s="107" t="s">
        <v>27</v>
      </c>
      <c r="BE60" s="108"/>
      <c r="BF60" s="107" t="s">
        <v>28</v>
      </c>
      <c r="BG60" s="108"/>
      <c r="BH60" s="107" t="s">
        <v>29</v>
      </c>
      <c r="BI60" s="108"/>
      <c r="BJ60" s="107" t="s">
        <v>30</v>
      </c>
      <c r="BK60" s="108"/>
      <c r="BL60" s="107" t="s">
        <v>31</v>
      </c>
      <c r="BM60" s="108"/>
      <c r="BN60" s="111" t="s">
        <v>32</v>
      </c>
      <c r="BO60" s="112"/>
      <c r="BP60" s="107" t="s">
        <v>33</v>
      </c>
      <c r="BQ60" s="108"/>
      <c r="BR60" s="109" t="s">
        <v>34</v>
      </c>
      <c r="BS60" s="110"/>
    </row>
    <row r="61" spans="1:71" ht="30" x14ac:dyDescent="0.25">
      <c r="A61" s="3"/>
      <c r="B61" s="66" t="s">
        <v>294</v>
      </c>
      <c r="C61" s="67" t="s">
        <v>295</v>
      </c>
      <c r="D61" s="66" t="s">
        <v>294</v>
      </c>
      <c r="E61" s="67" t="s">
        <v>295</v>
      </c>
      <c r="F61" s="66" t="s">
        <v>294</v>
      </c>
      <c r="G61" s="67" t="s">
        <v>295</v>
      </c>
      <c r="H61" s="66" t="s">
        <v>294</v>
      </c>
      <c r="I61" s="67" t="s">
        <v>295</v>
      </c>
      <c r="J61" s="66" t="s">
        <v>294</v>
      </c>
      <c r="K61" s="67" t="s">
        <v>295</v>
      </c>
      <c r="L61" s="66" t="s">
        <v>294</v>
      </c>
      <c r="M61" s="67" t="s">
        <v>295</v>
      </c>
      <c r="N61" s="66" t="s">
        <v>294</v>
      </c>
      <c r="O61" s="67" t="s">
        <v>295</v>
      </c>
      <c r="P61" s="66" t="s">
        <v>294</v>
      </c>
      <c r="Q61" s="67" t="s">
        <v>295</v>
      </c>
      <c r="R61" s="66" t="s">
        <v>294</v>
      </c>
      <c r="S61" s="67" t="s">
        <v>295</v>
      </c>
      <c r="T61" s="66" t="s">
        <v>294</v>
      </c>
      <c r="U61" s="67" t="s">
        <v>295</v>
      </c>
      <c r="V61" s="66" t="s">
        <v>294</v>
      </c>
      <c r="W61" s="67" t="s">
        <v>295</v>
      </c>
      <c r="X61" s="66" t="s">
        <v>294</v>
      </c>
      <c r="Y61" s="67" t="s">
        <v>295</v>
      </c>
      <c r="Z61" s="66" t="s">
        <v>294</v>
      </c>
      <c r="AA61" s="67" t="s">
        <v>295</v>
      </c>
      <c r="AB61" s="66" t="s">
        <v>294</v>
      </c>
      <c r="AC61" s="67" t="s">
        <v>295</v>
      </c>
      <c r="AD61" s="66" t="s">
        <v>294</v>
      </c>
      <c r="AE61" s="67" t="s">
        <v>295</v>
      </c>
      <c r="AF61" s="66" t="s">
        <v>294</v>
      </c>
      <c r="AG61" s="67" t="s">
        <v>295</v>
      </c>
      <c r="AH61" s="66" t="s">
        <v>294</v>
      </c>
      <c r="AI61" s="67" t="s">
        <v>295</v>
      </c>
      <c r="AJ61" s="66" t="s">
        <v>294</v>
      </c>
      <c r="AK61" s="67" t="s">
        <v>295</v>
      </c>
      <c r="AL61" s="66" t="s">
        <v>294</v>
      </c>
      <c r="AM61" s="67" t="s">
        <v>295</v>
      </c>
      <c r="AN61" s="66" t="s">
        <v>294</v>
      </c>
      <c r="AO61" s="67" t="s">
        <v>295</v>
      </c>
      <c r="AP61" s="66" t="s">
        <v>294</v>
      </c>
      <c r="AQ61" s="67" t="s">
        <v>295</v>
      </c>
      <c r="AR61" s="66" t="s">
        <v>294</v>
      </c>
      <c r="AS61" s="67" t="s">
        <v>295</v>
      </c>
      <c r="AT61" s="66" t="s">
        <v>294</v>
      </c>
      <c r="AU61" s="67" t="s">
        <v>295</v>
      </c>
      <c r="AV61" s="66" t="s">
        <v>294</v>
      </c>
      <c r="AW61" s="67" t="s">
        <v>295</v>
      </c>
      <c r="AX61" s="66" t="s">
        <v>294</v>
      </c>
      <c r="AY61" s="67" t="s">
        <v>295</v>
      </c>
      <c r="AZ61" s="66" t="s">
        <v>294</v>
      </c>
      <c r="BA61" s="67" t="s">
        <v>295</v>
      </c>
      <c r="BB61" s="66" t="s">
        <v>294</v>
      </c>
      <c r="BC61" s="67" t="s">
        <v>295</v>
      </c>
      <c r="BD61" s="66" t="s">
        <v>294</v>
      </c>
      <c r="BE61" s="67" t="s">
        <v>295</v>
      </c>
      <c r="BF61" s="66" t="s">
        <v>294</v>
      </c>
      <c r="BG61" s="67" t="s">
        <v>295</v>
      </c>
      <c r="BH61" s="66" t="s">
        <v>294</v>
      </c>
      <c r="BI61" s="67" t="s">
        <v>295</v>
      </c>
      <c r="BJ61" s="66" t="s">
        <v>294</v>
      </c>
      <c r="BK61" s="67" t="s">
        <v>295</v>
      </c>
      <c r="BL61" s="66" t="s">
        <v>294</v>
      </c>
      <c r="BM61" s="67" t="s">
        <v>295</v>
      </c>
      <c r="BN61" s="66" t="s">
        <v>294</v>
      </c>
      <c r="BO61" s="67" t="s">
        <v>295</v>
      </c>
      <c r="BP61" s="66" t="s">
        <v>294</v>
      </c>
      <c r="BQ61" s="67" t="s">
        <v>295</v>
      </c>
      <c r="BR61" s="66" t="s">
        <v>294</v>
      </c>
      <c r="BS61" s="67" t="s">
        <v>295</v>
      </c>
    </row>
    <row r="62" spans="1:71" x14ac:dyDescent="0.25">
      <c r="A62" s="30" t="s">
        <v>238</v>
      </c>
      <c r="B62" s="10"/>
      <c r="C62" s="10"/>
      <c r="D62" s="10"/>
      <c r="E62" s="10"/>
      <c r="F62" s="10"/>
      <c r="G62" s="10"/>
      <c r="H62" s="10"/>
      <c r="I62" s="10"/>
      <c r="J62" s="10">
        <v>1036</v>
      </c>
      <c r="K62" s="10">
        <v>360</v>
      </c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>
        <v>1246</v>
      </c>
      <c r="AA62" s="10">
        <v>3543</v>
      </c>
      <c r="AB62" s="10">
        <v>2131</v>
      </c>
      <c r="AC62" s="10">
        <v>11764</v>
      </c>
      <c r="AD62" s="10">
        <v>22</v>
      </c>
      <c r="AE62" s="10">
        <v>55</v>
      </c>
      <c r="AF62" s="10"/>
      <c r="AG62" s="10"/>
      <c r="AH62" s="10"/>
      <c r="AI62" s="10"/>
      <c r="AJ62" s="11"/>
      <c r="AK62" s="10"/>
      <c r="AL62" s="10"/>
      <c r="AM62" s="10"/>
      <c r="AN62" s="10"/>
      <c r="AO62" s="10"/>
      <c r="AP62" s="10">
        <v>3473.8290000000002</v>
      </c>
      <c r="AQ62" s="10">
        <v>5295.1620000000003</v>
      </c>
      <c r="AR62" s="10">
        <v>2684</v>
      </c>
      <c r="AS62" s="10">
        <v>25963</v>
      </c>
      <c r="AT62" s="10">
        <v>1437</v>
      </c>
      <c r="AU62" s="10">
        <v>5237</v>
      </c>
      <c r="AV62" s="10"/>
      <c r="AW62" s="10"/>
      <c r="AX62" s="10">
        <v>893</v>
      </c>
      <c r="AY62" s="10">
        <v>5363</v>
      </c>
      <c r="AZ62" s="10"/>
      <c r="BA62" s="10"/>
      <c r="BB62" s="10"/>
      <c r="BC62" s="10"/>
      <c r="BD62" s="10"/>
      <c r="BE62" s="10"/>
      <c r="BF62" s="10">
        <v>51</v>
      </c>
      <c r="BG62" s="10">
        <v>105</v>
      </c>
      <c r="BH62" s="10"/>
      <c r="BI62" s="10"/>
      <c r="BJ62" s="10"/>
      <c r="BK62" s="10"/>
      <c r="BL62" s="10"/>
      <c r="BM62" s="10"/>
      <c r="BN62" s="10">
        <v>2717</v>
      </c>
      <c r="BO62" s="10">
        <v>8241</v>
      </c>
      <c r="BP62" s="10"/>
      <c r="BQ62" s="10"/>
      <c r="BR62" s="85">
        <f t="shared" ref="BR62:BR65" si="14">SUM(B62+D62+F62+H62+J62+L62+N62+P62+R62+T62+V62+X62+Z62+AB62+AD62+AF62+AH62+AJ62+AL62+AN62+AP62+AR62+AT62+AV62+AX62+AZ62+BB62+BD62+BF62+BH62+BJ62+BL62+BN62+BP62)</f>
        <v>15690.829</v>
      </c>
      <c r="BS62" s="85">
        <f t="shared" ref="BS62:BS65" si="15">SUM(C62+E62+G62+I62+K62+M62+O62+Q62+S62+U62+W62+Y62+AA62+AC62+AE62+AG62+AI62+AK62+AM62+AO62+AQ62+AS62+AU62+AW62+AY62+BA62+BC62+BE62+BG62+BI62+BK62+BM62+BO62+BQ62)</f>
        <v>65926.161999999997</v>
      </c>
    </row>
    <row r="63" spans="1:71" x14ac:dyDescent="0.25">
      <c r="A63" s="30" t="s">
        <v>289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>
        <v>3703</v>
      </c>
      <c r="AC63" s="10">
        <v>6370</v>
      </c>
      <c r="AD63" s="10"/>
      <c r="AE63" s="10"/>
      <c r="AF63" s="10"/>
      <c r="AG63" s="10"/>
      <c r="AH63" s="10"/>
      <c r="AI63" s="10"/>
      <c r="AJ63" s="11"/>
      <c r="AK63" s="10"/>
      <c r="AL63" s="10"/>
      <c r="AM63" s="10"/>
      <c r="AN63" s="10"/>
      <c r="AO63" s="10"/>
      <c r="AP63" s="10">
        <v>-184.256</v>
      </c>
      <c r="AQ63" s="10">
        <v>-411.38</v>
      </c>
      <c r="AR63" s="10">
        <v>31503</v>
      </c>
      <c r="AS63" s="10">
        <v>108432</v>
      </c>
      <c r="AT63" s="10">
        <v>61932</v>
      </c>
      <c r="AU63" s="10">
        <v>89098</v>
      </c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>
        <v>6033</v>
      </c>
      <c r="BO63" s="10">
        <v>44276</v>
      </c>
      <c r="BP63" s="10"/>
      <c r="BQ63" s="10"/>
      <c r="BR63" s="85">
        <f t="shared" si="14"/>
        <v>102986.74400000001</v>
      </c>
      <c r="BS63" s="85">
        <f t="shared" si="15"/>
        <v>247764.62</v>
      </c>
    </row>
    <row r="64" spans="1:71" x14ac:dyDescent="0.25">
      <c r="A64" s="30" t="s">
        <v>290</v>
      </c>
      <c r="B64" s="10"/>
      <c r="C64" s="10"/>
      <c r="D64" s="10"/>
      <c r="E64" s="10"/>
      <c r="F64" s="10"/>
      <c r="G64" s="10"/>
      <c r="H64" s="10"/>
      <c r="I64" s="10"/>
      <c r="J64" s="10">
        <v>1685</v>
      </c>
      <c r="K64" s="10">
        <v>4119</v>
      </c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>
        <v>-1844</v>
      </c>
      <c r="AA64" s="10">
        <v>-5865</v>
      </c>
      <c r="AB64" s="10">
        <v>3671</v>
      </c>
      <c r="AC64" s="10">
        <v>9627</v>
      </c>
      <c r="AD64" s="10">
        <v>-11</v>
      </c>
      <c r="AE64" s="10">
        <v>-3</v>
      </c>
      <c r="AF64" s="10"/>
      <c r="AG64" s="10"/>
      <c r="AH64" s="10"/>
      <c r="AI64" s="10"/>
      <c r="AJ64" s="11"/>
      <c r="AK64" s="10"/>
      <c r="AL64" s="10"/>
      <c r="AM64" s="10"/>
      <c r="AN64" s="10"/>
      <c r="AO64" s="10"/>
      <c r="AP64" s="10">
        <v>1297.2610000000004</v>
      </c>
      <c r="AQ64" s="10">
        <v>13605.227000000001</v>
      </c>
      <c r="AR64" s="10">
        <v>14012</v>
      </c>
      <c r="AS64" s="10">
        <v>45709</v>
      </c>
      <c r="AT64" s="10">
        <v>17409</v>
      </c>
      <c r="AU64" s="10">
        <v>28002</v>
      </c>
      <c r="AV64" s="10"/>
      <c r="AW64" s="10"/>
      <c r="AX64" s="10">
        <v>1508</v>
      </c>
      <c r="AY64" s="10">
        <v>4933</v>
      </c>
      <c r="AZ64" s="10"/>
      <c r="BA64" s="10"/>
      <c r="BB64" s="10"/>
      <c r="BC64" s="10"/>
      <c r="BD64" s="10"/>
      <c r="BE64" s="10"/>
      <c r="BF64" s="10">
        <v>2</v>
      </c>
      <c r="BG64" s="10">
        <v>5</v>
      </c>
      <c r="BH64" s="10"/>
      <c r="BI64" s="10"/>
      <c r="BJ64" s="10"/>
      <c r="BK64" s="10"/>
      <c r="BL64" s="10"/>
      <c r="BM64" s="10"/>
      <c r="BN64" s="10">
        <v>5438</v>
      </c>
      <c r="BO64" s="10">
        <v>10738</v>
      </c>
      <c r="BP64" s="10"/>
      <c r="BQ64" s="10"/>
      <c r="BR64" s="85">
        <f t="shared" si="14"/>
        <v>43167.260999999999</v>
      </c>
      <c r="BS64" s="85">
        <f t="shared" si="15"/>
        <v>110870.227</v>
      </c>
    </row>
    <row r="65" spans="1:71" x14ac:dyDescent="0.25">
      <c r="A65" s="30" t="s">
        <v>239</v>
      </c>
      <c r="B65" s="10"/>
      <c r="C65" s="10"/>
      <c r="D65" s="10"/>
      <c r="E65" s="10"/>
      <c r="F65" s="10"/>
      <c r="G65" s="10"/>
      <c r="H65" s="10"/>
      <c r="I65" s="10"/>
      <c r="J65" s="10">
        <v>-649</v>
      </c>
      <c r="K65" s="10">
        <v>-3759</v>
      </c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>
        <v>-598</v>
      </c>
      <c r="AA65" s="10">
        <v>-2322</v>
      </c>
      <c r="AB65" s="10">
        <v>2163</v>
      </c>
      <c r="AC65" s="10">
        <v>8507</v>
      </c>
      <c r="AD65" s="10">
        <v>33</v>
      </c>
      <c r="AE65" s="10">
        <v>58</v>
      </c>
      <c r="AF65" s="10"/>
      <c r="AG65" s="10"/>
      <c r="AH65" s="10"/>
      <c r="AI65" s="10"/>
      <c r="AJ65" s="11"/>
      <c r="AK65" s="10"/>
      <c r="AL65" s="10"/>
      <c r="AM65" s="10"/>
      <c r="AN65" s="10"/>
      <c r="AO65" s="10"/>
      <c r="AP65" s="10">
        <v>1992.3119999999999</v>
      </c>
      <c r="AQ65" s="10">
        <v>-8721.4449999999997</v>
      </c>
      <c r="AR65" s="10">
        <v>20175</v>
      </c>
      <c r="AS65" s="10">
        <v>88686</v>
      </c>
      <c r="AT65" s="10">
        <v>45960</v>
      </c>
      <c r="AU65" s="10">
        <v>66333</v>
      </c>
      <c r="AV65" s="10"/>
      <c r="AW65" s="10"/>
      <c r="AX65" s="10">
        <v>-615</v>
      </c>
      <c r="AY65" s="10">
        <v>430</v>
      </c>
      <c r="AZ65" s="10"/>
      <c r="BA65" s="10"/>
      <c r="BB65" s="10"/>
      <c r="BC65" s="10"/>
      <c r="BD65" s="10"/>
      <c r="BE65" s="10"/>
      <c r="BF65" s="10">
        <v>49</v>
      </c>
      <c r="BG65" s="10">
        <v>100</v>
      </c>
      <c r="BH65" s="10"/>
      <c r="BI65" s="10"/>
      <c r="BJ65" s="10"/>
      <c r="BK65" s="10"/>
      <c r="BL65" s="10"/>
      <c r="BM65" s="10"/>
      <c r="BN65" s="10">
        <v>3312</v>
      </c>
      <c r="BO65" s="10">
        <v>41779</v>
      </c>
      <c r="BP65" s="10"/>
      <c r="BQ65" s="10"/>
      <c r="BR65" s="85">
        <f t="shared" si="14"/>
        <v>71822.312000000005</v>
      </c>
      <c r="BS65" s="85">
        <f t="shared" si="15"/>
        <v>191090.55499999999</v>
      </c>
    </row>
    <row r="66" spans="1:71" x14ac:dyDescent="0.25">
      <c r="A66" s="28"/>
    </row>
    <row r="67" spans="1:71" x14ac:dyDescent="0.25">
      <c r="A67" s="29" t="s">
        <v>308</v>
      </c>
    </row>
    <row r="68" spans="1:71" x14ac:dyDescent="0.25">
      <c r="A68" s="3" t="s">
        <v>0</v>
      </c>
      <c r="B68" s="107" t="s">
        <v>1</v>
      </c>
      <c r="C68" s="108"/>
      <c r="D68" s="107" t="s">
        <v>2</v>
      </c>
      <c r="E68" s="108"/>
      <c r="F68" s="107" t="s">
        <v>3</v>
      </c>
      <c r="G68" s="108"/>
      <c r="H68" s="107" t="s">
        <v>307</v>
      </c>
      <c r="I68" s="108"/>
      <c r="J68" s="107" t="s">
        <v>5</v>
      </c>
      <c r="K68" s="108"/>
      <c r="L68" s="107" t="s">
        <v>6</v>
      </c>
      <c r="M68" s="108"/>
      <c r="N68" s="107" t="s">
        <v>7</v>
      </c>
      <c r="O68" s="108"/>
      <c r="P68" s="107" t="s">
        <v>8</v>
      </c>
      <c r="Q68" s="108"/>
      <c r="R68" s="107" t="s">
        <v>9</v>
      </c>
      <c r="S68" s="108"/>
      <c r="T68" s="107" t="s">
        <v>10</v>
      </c>
      <c r="U68" s="108"/>
      <c r="V68" s="107" t="s">
        <v>11</v>
      </c>
      <c r="W68" s="108"/>
      <c r="X68" s="107" t="s">
        <v>12</v>
      </c>
      <c r="Y68" s="108"/>
      <c r="Z68" s="107" t="s">
        <v>13</v>
      </c>
      <c r="AA68" s="108"/>
      <c r="AB68" s="107" t="s">
        <v>14</v>
      </c>
      <c r="AC68" s="108"/>
      <c r="AD68" s="107" t="s">
        <v>15</v>
      </c>
      <c r="AE68" s="108"/>
      <c r="AF68" s="107" t="s">
        <v>16</v>
      </c>
      <c r="AG68" s="108"/>
      <c r="AH68" s="107" t="s">
        <v>17</v>
      </c>
      <c r="AI68" s="108"/>
      <c r="AJ68" s="107" t="s">
        <v>18</v>
      </c>
      <c r="AK68" s="108"/>
      <c r="AL68" s="107" t="s">
        <v>296</v>
      </c>
      <c r="AM68" s="108"/>
      <c r="AN68" s="107" t="s">
        <v>19</v>
      </c>
      <c r="AO68" s="108"/>
      <c r="AP68" s="107" t="s">
        <v>20</v>
      </c>
      <c r="AQ68" s="108"/>
      <c r="AR68" s="107" t="s">
        <v>21</v>
      </c>
      <c r="AS68" s="108"/>
      <c r="AT68" s="107" t="s">
        <v>22</v>
      </c>
      <c r="AU68" s="108"/>
      <c r="AV68" s="107" t="s">
        <v>23</v>
      </c>
      <c r="AW68" s="108"/>
      <c r="AX68" s="107" t="s">
        <v>24</v>
      </c>
      <c r="AY68" s="108"/>
      <c r="AZ68" s="107" t="s">
        <v>25</v>
      </c>
      <c r="BA68" s="108"/>
      <c r="BB68" s="107" t="s">
        <v>26</v>
      </c>
      <c r="BC68" s="108"/>
      <c r="BD68" s="107" t="s">
        <v>27</v>
      </c>
      <c r="BE68" s="108"/>
      <c r="BF68" s="107" t="s">
        <v>28</v>
      </c>
      <c r="BG68" s="108"/>
      <c r="BH68" s="107" t="s">
        <v>29</v>
      </c>
      <c r="BI68" s="108"/>
      <c r="BJ68" s="107" t="s">
        <v>30</v>
      </c>
      <c r="BK68" s="108"/>
      <c r="BL68" s="107" t="s">
        <v>31</v>
      </c>
      <c r="BM68" s="108"/>
      <c r="BN68" s="111" t="s">
        <v>32</v>
      </c>
      <c r="BO68" s="112"/>
      <c r="BP68" s="107" t="s">
        <v>33</v>
      </c>
      <c r="BQ68" s="108"/>
      <c r="BR68" s="109" t="s">
        <v>34</v>
      </c>
      <c r="BS68" s="110"/>
    </row>
    <row r="69" spans="1:71" ht="30" x14ac:dyDescent="0.25">
      <c r="A69" s="3"/>
      <c r="B69" s="66" t="s">
        <v>294</v>
      </c>
      <c r="C69" s="67" t="s">
        <v>295</v>
      </c>
      <c r="D69" s="66" t="s">
        <v>294</v>
      </c>
      <c r="E69" s="67" t="s">
        <v>295</v>
      </c>
      <c r="F69" s="66" t="s">
        <v>294</v>
      </c>
      <c r="G69" s="67" t="s">
        <v>295</v>
      </c>
      <c r="H69" s="66" t="s">
        <v>294</v>
      </c>
      <c r="I69" s="67" t="s">
        <v>295</v>
      </c>
      <c r="J69" s="66" t="s">
        <v>294</v>
      </c>
      <c r="K69" s="67" t="s">
        <v>295</v>
      </c>
      <c r="L69" s="66" t="s">
        <v>294</v>
      </c>
      <c r="M69" s="67" t="s">
        <v>295</v>
      </c>
      <c r="N69" s="66" t="s">
        <v>294</v>
      </c>
      <c r="O69" s="67" t="s">
        <v>295</v>
      </c>
      <c r="P69" s="66" t="s">
        <v>294</v>
      </c>
      <c r="Q69" s="67" t="s">
        <v>295</v>
      </c>
      <c r="R69" s="66" t="s">
        <v>294</v>
      </c>
      <c r="S69" s="67" t="s">
        <v>295</v>
      </c>
      <c r="T69" s="66" t="s">
        <v>294</v>
      </c>
      <c r="U69" s="67" t="s">
        <v>295</v>
      </c>
      <c r="V69" s="66" t="s">
        <v>294</v>
      </c>
      <c r="W69" s="67" t="s">
        <v>295</v>
      </c>
      <c r="X69" s="66" t="s">
        <v>294</v>
      </c>
      <c r="Y69" s="67" t="s">
        <v>295</v>
      </c>
      <c r="Z69" s="66" t="s">
        <v>294</v>
      </c>
      <c r="AA69" s="67" t="s">
        <v>295</v>
      </c>
      <c r="AB69" s="66" t="s">
        <v>294</v>
      </c>
      <c r="AC69" s="67" t="s">
        <v>295</v>
      </c>
      <c r="AD69" s="66" t="s">
        <v>294</v>
      </c>
      <c r="AE69" s="67" t="s">
        <v>295</v>
      </c>
      <c r="AF69" s="66" t="s">
        <v>294</v>
      </c>
      <c r="AG69" s="67" t="s">
        <v>295</v>
      </c>
      <c r="AH69" s="66" t="s">
        <v>294</v>
      </c>
      <c r="AI69" s="67" t="s">
        <v>295</v>
      </c>
      <c r="AJ69" s="66" t="s">
        <v>294</v>
      </c>
      <c r="AK69" s="67" t="s">
        <v>295</v>
      </c>
      <c r="AL69" s="66" t="s">
        <v>294</v>
      </c>
      <c r="AM69" s="67" t="s">
        <v>295</v>
      </c>
      <c r="AN69" s="66" t="s">
        <v>294</v>
      </c>
      <c r="AO69" s="67" t="s">
        <v>295</v>
      </c>
      <c r="AP69" s="66" t="s">
        <v>294</v>
      </c>
      <c r="AQ69" s="67" t="s">
        <v>295</v>
      </c>
      <c r="AR69" s="66" t="s">
        <v>294</v>
      </c>
      <c r="AS69" s="67" t="s">
        <v>295</v>
      </c>
      <c r="AT69" s="66" t="s">
        <v>294</v>
      </c>
      <c r="AU69" s="67" t="s">
        <v>295</v>
      </c>
      <c r="AV69" s="66" t="s">
        <v>294</v>
      </c>
      <c r="AW69" s="67" t="s">
        <v>295</v>
      </c>
      <c r="AX69" s="66" t="s">
        <v>294</v>
      </c>
      <c r="AY69" s="67" t="s">
        <v>295</v>
      </c>
      <c r="AZ69" s="66" t="s">
        <v>294</v>
      </c>
      <c r="BA69" s="67" t="s">
        <v>295</v>
      </c>
      <c r="BB69" s="66" t="s">
        <v>294</v>
      </c>
      <c r="BC69" s="67" t="s">
        <v>295</v>
      </c>
      <c r="BD69" s="66" t="s">
        <v>294</v>
      </c>
      <c r="BE69" s="67" t="s">
        <v>295</v>
      </c>
      <c r="BF69" s="66" t="s">
        <v>294</v>
      </c>
      <c r="BG69" s="67" t="s">
        <v>295</v>
      </c>
      <c r="BH69" s="66" t="s">
        <v>294</v>
      </c>
      <c r="BI69" s="67" t="s">
        <v>295</v>
      </c>
      <c r="BJ69" s="66" t="s">
        <v>294</v>
      </c>
      <c r="BK69" s="67" t="s">
        <v>295</v>
      </c>
      <c r="BL69" s="66" t="s">
        <v>294</v>
      </c>
      <c r="BM69" s="67" t="s">
        <v>295</v>
      </c>
      <c r="BN69" s="66" t="s">
        <v>294</v>
      </c>
      <c r="BO69" s="67" t="s">
        <v>295</v>
      </c>
      <c r="BP69" s="66" t="s">
        <v>294</v>
      </c>
      <c r="BQ69" s="67" t="s">
        <v>295</v>
      </c>
      <c r="BR69" s="66" t="s">
        <v>294</v>
      </c>
      <c r="BS69" s="67" t="s">
        <v>295</v>
      </c>
    </row>
    <row r="70" spans="1:71" x14ac:dyDescent="0.25">
      <c r="A70" s="30" t="s">
        <v>238</v>
      </c>
      <c r="B70" s="10"/>
      <c r="C70" s="10"/>
      <c r="D70" s="10"/>
      <c r="E70" s="10"/>
      <c r="F70" s="10"/>
      <c r="G70" s="10"/>
      <c r="H70" s="10"/>
      <c r="I70" s="10"/>
      <c r="J70" s="10"/>
      <c r="K70">
        <v>40</v>
      </c>
      <c r="L70" s="10"/>
      <c r="M70" s="10"/>
      <c r="N70" s="10">
        <v>-8518</v>
      </c>
      <c r="O70" s="10">
        <v>3317</v>
      </c>
      <c r="P70" s="10"/>
      <c r="Q70" s="10"/>
      <c r="R70" s="10"/>
      <c r="S70" s="10"/>
      <c r="T70" s="10"/>
      <c r="U70" s="10"/>
      <c r="V70" s="10">
        <v>-4</v>
      </c>
      <c r="W70" s="10">
        <v>24</v>
      </c>
      <c r="X70" s="10"/>
      <c r="Y70" s="10"/>
      <c r="Z70" s="10">
        <v>13838</v>
      </c>
      <c r="AA70" s="10">
        <v>33103</v>
      </c>
      <c r="AB70" s="10">
        <v>-153</v>
      </c>
      <c r="AC70" s="10">
        <v>-1799</v>
      </c>
      <c r="AD70" s="10"/>
      <c r="AE70" s="10"/>
      <c r="AF70" s="10"/>
      <c r="AG70" s="10"/>
      <c r="AH70" s="10"/>
      <c r="AI70" s="10"/>
      <c r="AJ70" s="11"/>
      <c r="AK70" s="10"/>
      <c r="AL70" s="10"/>
      <c r="AM70" s="10"/>
      <c r="AN70" s="10"/>
      <c r="AO70" s="10"/>
      <c r="AP70" s="10">
        <v>12858.207999999999</v>
      </c>
      <c r="AQ70" s="10">
        <v>31017.312999999998</v>
      </c>
      <c r="AR70" s="10">
        <v>20585</v>
      </c>
      <c r="AS70" s="10">
        <v>63444</v>
      </c>
      <c r="AT70" s="10"/>
      <c r="AU70" s="10"/>
      <c r="AV70" s="10"/>
      <c r="AW70" s="10"/>
      <c r="AX70" s="10"/>
      <c r="AY70" s="10">
        <v>9</v>
      </c>
      <c r="AZ70" s="10"/>
      <c r="BA70" s="10"/>
      <c r="BB70" s="10"/>
      <c r="BC70" s="10"/>
      <c r="BD70" s="10"/>
      <c r="BE70" s="10"/>
      <c r="BF70" s="10"/>
      <c r="BG70" s="10">
        <v>-1675</v>
      </c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85">
        <f t="shared" ref="BR70:BR73" si="16">SUM(B70+D70+F70+H70+J70+L70+N70+P70+R70+T70+V70+X70+Z70+AB70+AD70+AF70+AH70+AJ70+AL70+AN70+AP70+AR70+AT70+AV70+AX70+AZ70+BB70+BD70+BF70+BH70+BJ70+BL70+BN70+BP70)</f>
        <v>38606.207999999999</v>
      </c>
      <c r="BS70" s="85">
        <f t="shared" ref="BS70:BS73" si="17">SUM(C70+E70+G70+I70+K70+M70+O70+Q70+S70+U70+W70+Y70+AA70+AC70+AE70+AG70+AI70+AK70+AM70+AO70+AQ70+AS70+AU70+AW70+AY70+BA70+BC70+BE70+BG70+BI70+BK70+BM70+BO70+BQ70)</f>
        <v>127480.31299999999</v>
      </c>
    </row>
    <row r="71" spans="1:71" x14ac:dyDescent="0.25">
      <c r="A71" s="30" t="s">
        <v>289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>
        <v>455</v>
      </c>
      <c r="Y71" s="10">
        <v>455</v>
      </c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1"/>
      <c r="AK71" s="10"/>
      <c r="AL71" s="10"/>
      <c r="AM71" s="10"/>
      <c r="AN71" s="10"/>
      <c r="AO71" s="10"/>
      <c r="AP71" s="10">
        <v>0</v>
      </c>
      <c r="AQ71" s="10">
        <v>0</v>
      </c>
      <c r="AR71" s="10">
        <v>-29</v>
      </c>
      <c r="AS71" s="10">
        <v>25268</v>
      </c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85">
        <f t="shared" si="16"/>
        <v>426</v>
      </c>
      <c r="BS71" s="85">
        <f t="shared" si="17"/>
        <v>25723</v>
      </c>
    </row>
    <row r="72" spans="1:71" x14ac:dyDescent="0.25">
      <c r="A72" s="30" t="s">
        <v>290</v>
      </c>
      <c r="B72" s="10"/>
      <c r="C72" s="10"/>
      <c r="D72" s="10"/>
      <c r="E72" s="10"/>
      <c r="F72" s="10"/>
      <c r="G72" s="10"/>
      <c r="H72" s="10"/>
      <c r="I72" s="10"/>
      <c r="J72" s="10">
        <v>119290</v>
      </c>
      <c r="K72" s="10">
        <v>886679</v>
      </c>
      <c r="L72" s="10">
        <v>75747</v>
      </c>
      <c r="M72" s="10">
        <v>256891</v>
      </c>
      <c r="N72" s="10"/>
      <c r="O72" s="10">
        <v>-5558</v>
      </c>
      <c r="P72" s="10"/>
      <c r="Q72" s="10"/>
      <c r="R72" s="10"/>
      <c r="S72" s="10"/>
      <c r="T72" s="10"/>
      <c r="U72" s="10"/>
      <c r="V72" s="10">
        <v>98776</v>
      </c>
      <c r="W72" s="10">
        <v>187652</v>
      </c>
      <c r="X72" s="10">
        <v>17209</v>
      </c>
      <c r="Y72" s="10">
        <v>17209</v>
      </c>
      <c r="Z72" s="10">
        <v>-20466</v>
      </c>
      <c r="AA72" s="10">
        <v>-866582</v>
      </c>
      <c r="AB72" s="10">
        <v>1945</v>
      </c>
      <c r="AC72" s="10">
        <v>-10284</v>
      </c>
      <c r="AD72" s="10">
        <v>186182</v>
      </c>
      <c r="AE72" s="10">
        <v>469336</v>
      </c>
      <c r="AF72" s="10"/>
      <c r="AG72" s="10"/>
      <c r="AH72" s="10"/>
      <c r="AI72" s="10"/>
      <c r="AJ72" s="11"/>
      <c r="AK72" s="10"/>
      <c r="AL72" s="10"/>
      <c r="AM72" s="10"/>
      <c r="AN72" s="10"/>
      <c r="AO72" s="10"/>
      <c r="AP72" s="10">
        <v>177965.3564275</v>
      </c>
      <c r="AQ72" s="10">
        <v>304584.5004275</v>
      </c>
      <c r="AR72" s="10">
        <v>82735</v>
      </c>
      <c r="AS72" s="10">
        <v>373618</v>
      </c>
      <c r="AT72" s="10"/>
      <c r="AU72" s="10"/>
      <c r="AV72" s="10"/>
      <c r="AW72" s="10"/>
      <c r="AX72" s="10">
        <v>467771</v>
      </c>
      <c r="AY72" s="10">
        <v>942985</v>
      </c>
      <c r="AZ72" s="10"/>
      <c r="BA72" s="10"/>
      <c r="BB72" s="10"/>
      <c r="BC72" s="10"/>
      <c r="BD72" s="10">
        <v>-97550</v>
      </c>
      <c r="BE72" s="10">
        <v>-189750</v>
      </c>
      <c r="BF72" s="10">
        <v>105520</v>
      </c>
      <c r="BG72" s="10">
        <v>926096</v>
      </c>
      <c r="BH72" s="10"/>
      <c r="BI72" s="10"/>
      <c r="BJ72" s="10"/>
      <c r="BK72" s="10"/>
      <c r="BL72" s="10"/>
      <c r="BM72" s="10"/>
      <c r="BN72" s="10"/>
      <c r="BO72" s="10"/>
      <c r="BP72" s="10">
        <v>173251</v>
      </c>
      <c r="BQ72" s="10">
        <v>326596</v>
      </c>
      <c r="BR72" s="85">
        <f t="shared" si="16"/>
        <v>1388375.3564275</v>
      </c>
      <c r="BS72" s="85">
        <f t="shared" si="17"/>
        <v>3619472.5004274999</v>
      </c>
    </row>
    <row r="73" spans="1:71" x14ac:dyDescent="0.25">
      <c r="A73" s="30" t="s">
        <v>239</v>
      </c>
      <c r="B73" s="10"/>
      <c r="C73" s="10"/>
      <c r="D73" s="10"/>
      <c r="E73" s="10"/>
      <c r="F73" s="10"/>
      <c r="G73" s="10"/>
      <c r="H73" s="10"/>
      <c r="I73" s="10"/>
      <c r="J73" s="10">
        <v>-119290</v>
      </c>
      <c r="K73" s="10">
        <v>-886639</v>
      </c>
      <c r="L73" s="10">
        <v>-75747</v>
      </c>
      <c r="M73" s="10">
        <v>-256891</v>
      </c>
      <c r="N73" s="10">
        <v>-8518</v>
      </c>
      <c r="O73" s="10">
        <v>8875</v>
      </c>
      <c r="P73" s="10"/>
      <c r="Q73" s="10"/>
      <c r="R73" s="10"/>
      <c r="S73" s="10"/>
      <c r="T73" s="10"/>
      <c r="U73" s="10"/>
      <c r="V73" s="10">
        <v>-98780</v>
      </c>
      <c r="W73" s="10">
        <v>-187628</v>
      </c>
      <c r="X73" s="10">
        <v>-16753</v>
      </c>
      <c r="Y73" s="10">
        <v>-16753</v>
      </c>
      <c r="Z73" s="10">
        <v>-6628</v>
      </c>
      <c r="AA73" s="10">
        <v>-833478</v>
      </c>
      <c r="AB73" s="10">
        <v>-2098</v>
      </c>
      <c r="AC73" s="10">
        <v>8485</v>
      </c>
      <c r="AD73" s="10">
        <v>-186182</v>
      </c>
      <c r="AE73" s="10">
        <v>-469336</v>
      </c>
      <c r="AF73" s="10"/>
      <c r="AG73" s="10"/>
      <c r="AH73" s="10"/>
      <c r="AI73" s="10"/>
      <c r="AJ73" s="11"/>
      <c r="AK73" s="10"/>
      <c r="AL73" s="10"/>
      <c r="AM73" s="10"/>
      <c r="AN73" s="10"/>
      <c r="AO73" s="10"/>
      <c r="AP73" s="10">
        <v>-165107.14842749998</v>
      </c>
      <c r="AQ73" s="10">
        <v>-273567.18742749997</v>
      </c>
      <c r="AR73" s="10">
        <v>-62179</v>
      </c>
      <c r="AS73" s="10">
        <v>-284906</v>
      </c>
      <c r="AT73" s="10"/>
      <c r="AU73" s="10"/>
      <c r="AV73" s="10"/>
      <c r="AW73" s="10"/>
      <c r="AX73" s="10">
        <v>-467771</v>
      </c>
      <c r="AY73" s="10">
        <v>-942976</v>
      </c>
      <c r="AZ73" s="10"/>
      <c r="BA73" s="10"/>
      <c r="BB73" s="10"/>
      <c r="BC73" s="10"/>
      <c r="BD73" s="10">
        <v>-97550</v>
      </c>
      <c r="BE73" s="10">
        <v>-189750</v>
      </c>
      <c r="BF73" s="10">
        <v>-105520</v>
      </c>
      <c r="BG73" s="10">
        <v>-927771</v>
      </c>
      <c r="BH73" s="10"/>
      <c r="BI73" s="10"/>
      <c r="BJ73" s="10"/>
      <c r="BK73" s="10"/>
      <c r="BL73" s="10"/>
      <c r="BM73" s="10"/>
      <c r="BN73" s="10"/>
      <c r="BO73" s="10"/>
      <c r="BP73" s="10">
        <v>-173251</v>
      </c>
      <c r="BQ73" s="10">
        <v>-326596</v>
      </c>
      <c r="BR73" s="85">
        <f t="shared" si="16"/>
        <v>-1585374.1484274999</v>
      </c>
      <c r="BS73" s="85">
        <f t="shared" si="17"/>
        <v>-5578931.1874275003</v>
      </c>
    </row>
    <row r="74" spans="1:71" x14ac:dyDescent="0.25">
      <c r="A74" s="28"/>
    </row>
    <row r="75" spans="1:71" x14ac:dyDescent="0.25">
      <c r="A75" s="29" t="s">
        <v>237</v>
      </c>
    </row>
    <row r="76" spans="1:71" x14ac:dyDescent="0.25">
      <c r="A76" s="3" t="s">
        <v>0</v>
      </c>
      <c r="B76" s="107" t="s">
        <v>1</v>
      </c>
      <c r="C76" s="108"/>
      <c r="D76" s="107" t="s">
        <v>2</v>
      </c>
      <c r="E76" s="108"/>
      <c r="F76" s="107" t="s">
        <v>3</v>
      </c>
      <c r="G76" s="108"/>
      <c r="H76" s="107" t="s">
        <v>307</v>
      </c>
      <c r="I76" s="108"/>
      <c r="J76" s="107" t="s">
        <v>5</v>
      </c>
      <c r="K76" s="108"/>
      <c r="L76" s="107" t="s">
        <v>6</v>
      </c>
      <c r="M76" s="108"/>
      <c r="N76" s="107" t="s">
        <v>7</v>
      </c>
      <c r="O76" s="108"/>
      <c r="P76" s="107" t="s">
        <v>8</v>
      </c>
      <c r="Q76" s="108"/>
      <c r="R76" s="107" t="s">
        <v>9</v>
      </c>
      <c r="S76" s="108"/>
      <c r="T76" s="107" t="s">
        <v>10</v>
      </c>
      <c r="U76" s="108"/>
      <c r="V76" s="107" t="s">
        <v>11</v>
      </c>
      <c r="W76" s="108"/>
      <c r="X76" s="107" t="s">
        <v>12</v>
      </c>
      <c r="Y76" s="108"/>
      <c r="Z76" s="107" t="s">
        <v>13</v>
      </c>
      <c r="AA76" s="108"/>
      <c r="AB76" s="107" t="s">
        <v>14</v>
      </c>
      <c r="AC76" s="108"/>
      <c r="AD76" s="107" t="s">
        <v>15</v>
      </c>
      <c r="AE76" s="108"/>
      <c r="AF76" s="107" t="s">
        <v>16</v>
      </c>
      <c r="AG76" s="108"/>
      <c r="AH76" s="107" t="s">
        <v>17</v>
      </c>
      <c r="AI76" s="108"/>
      <c r="AJ76" s="107" t="s">
        <v>18</v>
      </c>
      <c r="AK76" s="108"/>
      <c r="AL76" s="107" t="s">
        <v>296</v>
      </c>
      <c r="AM76" s="108"/>
      <c r="AN76" s="107" t="s">
        <v>19</v>
      </c>
      <c r="AO76" s="108"/>
      <c r="AP76" s="107" t="s">
        <v>20</v>
      </c>
      <c r="AQ76" s="108"/>
      <c r="AR76" s="107" t="s">
        <v>21</v>
      </c>
      <c r="AS76" s="108"/>
      <c r="AT76" s="107" t="s">
        <v>22</v>
      </c>
      <c r="AU76" s="108"/>
      <c r="AV76" s="107" t="s">
        <v>23</v>
      </c>
      <c r="AW76" s="108"/>
      <c r="AX76" s="107" t="s">
        <v>24</v>
      </c>
      <c r="AY76" s="108"/>
      <c r="AZ76" s="107" t="s">
        <v>25</v>
      </c>
      <c r="BA76" s="108"/>
      <c r="BB76" s="107" t="s">
        <v>26</v>
      </c>
      <c r="BC76" s="108"/>
      <c r="BD76" s="107" t="s">
        <v>27</v>
      </c>
      <c r="BE76" s="108"/>
      <c r="BF76" s="107" t="s">
        <v>28</v>
      </c>
      <c r="BG76" s="108"/>
      <c r="BH76" s="107" t="s">
        <v>29</v>
      </c>
      <c r="BI76" s="108"/>
      <c r="BJ76" s="107" t="s">
        <v>30</v>
      </c>
      <c r="BK76" s="108"/>
      <c r="BL76" s="107" t="s">
        <v>31</v>
      </c>
      <c r="BM76" s="108"/>
      <c r="BN76" s="111" t="s">
        <v>32</v>
      </c>
      <c r="BO76" s="112"/>
      <c r="BP76" s="107" t="s">
        <v>33</v>
      </c>
      <c r="BQ76" s="108"/>
      <c r="BR76" s="109" t="s">
        <v>34</v>
      </c>
      <c r="BS76" s="110"/>
    </row>
    <row r="77" spans="1:71" ht="30" x14ac:dyDescent="0.25">
      <c r="A77" s="3"/>
      <c r="B77" s="66" t="s">
        <v>294</v>
      </c>
      <c r="C77" s="67" t="s">
        <v>295</v>
      </c>
      <c r="D77" s="66" t="s">
        <v>294</v>
      </c>
      <c r="E77" s="67" t="s">
        <v>295</v>
      </c>
      <c r="F77" s="66" t="s">
        <v>294</v>
      </c>
      <c r="G77" s="67" t="s">
        <v>295</v>
      </c>
      <c r="H77" s="66" t="s">
        <v>294</v>
      </c>
      <c r="I77" s="67" t="s">
        <v>295</v>
      </c>
      <c r="J77" s="66" t="s">
        <v>294</v>
      </c>
      <c r="K77" s="67" t="s">
        <v>295</v>
      </c>
      <c r="L77" s="66" t="s">
        <v>294</v>
      </c>
      <c r="M77" s="67" t="s">
        <v>295</v>
      </c>
      <c r="N77" s="66" t="s">
        <v>294</v>
      </c>
      <c r="O77" s="67" t="s">
        <v>295</v>
      </c>
      <c r="P77" s="66" t="s">
        <v>294</v>
      </c>
      <c r="Q77" s="67" t="s">
        <v>295</v>
      </c>
      <c r="R77" s="66" t="s">
        <v>294</v>
      </c>
      <c r="S77" s="67" t="s">
        <v>295</v>
      </c>
      <c r="T77" s="66" t="s">
        <v>294</v>
      </c>
      <c r="U77" s="67" t="s">
        <v>295</v>
      </c>
      <c r="V77" s="66" t="s">
        <v>294</v>
      </c>
      <c r="W77" s="67" t="s">
        <v>295</v>
      </c>
      <c r="X77" s="66" t="s">
        <v>294</v>
      </c>
      <c r="Y77" s="67" t="s">
        <v>295</v>
      </c>
      <c r="Z77" s="66" t="s">
        <v>294</v>
      </c>
      <c r="AA77" s="67" t="s">
        <v>295</v>
      </c>
      <c r="AB77" s="66" t="s">
        <v>294</v>
      </c>
      <c r="AC77" s="67" t="s">
        <v>295</v>
      </c>
      <c r="AD77" s="66" t="s">
        <v>294</v>
      </c>
      <c r="AE77" s="67" t="s">
        <v>295</v>
      </c>
      <c r="AF77" s="66" t="s">
        <v>294</v>
      </c>
      <c r="AG77" s="67" t="s">
        <v>295</v>
      </c>
      <c r="AH77" s="66" t="s">
        <v>294</v>
      </c>
      <c r="AI77" s="67" t="s">
        <v>295</v>
      </c>
      <c r="AJ77" s="66" t="s">
        <v>294</v>
      </c>
      <c r="AK77" s="67" t="s">
        <v>295</v>
      </c>
      <c r="AL77" s="66" t="s">
        <v>294</v>
      </c>
      <c r="AM77" s="67" t="s">
        <v>295</v>
      </c>
      <c r="AN77" s="66" t="s">
        <v>294</v>
      </c>
      <c r="AO77" s="67" t="s">
        <v>295</v>
      </c>
      <c r="AP77" s="66" t="s">
        <v>294</v>
      </c>
      <c r="AQ77" s="67" t="s">
        <v>295</v>
      </c>
      <c r="AR77" s="66" t="s">
        <v>294</v>
      </c>
      <c r="AS77" s="67" t="s">
        <v>295</v>
      </c>
      <c r="AT77" s="66" t="s">
        <v>294</v>
      </c>
      <c r="AU77" s="67" t="s">
        <v>295</v>
      </c>
      <c r="AV77" s="66" t="s">
        <v>294</v>
      </c>
      <c r="AW77" s="67" t="s">
        <v>295</v>
      </c>
      <c r="AX77" s="66" t="s">
        <v>294</v>
      </c>
      <c r="AY77" s="67" t="s">
        <v>295</v>
      </c>
      <c r="AZ77" s="66" t="s">
        <v>294</v>
      </c>
      <c r="BA77" s="67" t="s">
        <v>295</v>
      </c>
      <c r="BB77" s="66" t="s">
        <v>294</v>
      </c>
      <c r="BC77" s="67" t="s">
        <v>295</v>
      </c>
      <c r="BD77" s="66" t="s">
        <v>294</v>
      </c>
      <c r="BE77" s="67" t="s">
        <v>295</v>
      </c>
      <c r="BF77" s="66" t="s">
        <v>294</v>
      </c>
      <c r="BG77" s="67" t="s">
        <v>295</v>
      </c>
      <c r="BH77" s="66" t="s">
        <v>294</v>
      </c>
      <c r="BI77" s="67" t="s">
        <v>295</v>
      </c>
      <c r="BJ77" s="66" t="s">
        <v>294</v>
      </c>
      <c r="BK77" s="67" t="s">
        <v>295</v>
      </c>
      <c r="BL77" s="66" t="s">
        <v>294</v>
      </c>
      <c r="BM77" s="67" t="s">
        <v>295</v>
      </c>
      <c r="BN77" s="66" t="s">
        <v>294</v>
      </c>
      <c r="BO77" s="67" t="s">
        <v>295</v>
      </c>
      <c r="BP77" s="66" t="s">
        <v>294</v>
      </c>
      <c r="BQ77" s="67" t="s">
        <v>295</v>
      </c>
      <c r="BR77" s="66" t="s">
        <v>294</v>
      </c>
      <c r="BS77" s="67" t="s">
        <v>295</v>
      </c>
    </row>
    <row r="78" spans="1:71" x14ac:dyDescent="0.25">
      <c r="A78" s="30" t="s">
        <v>238</v>
      </c>
      <c r="B78" s="10">
        <f>B86-B62-B54-B46-B38-B30-B22-B14-B6-B70</f>
        <v>0</v>
      </c>
      <c r="C78" s="10">
        <f t="shared" ref="C78:BN78" si="18">C86-C62-C54-C46-C38-C30-C22-C14-C6-C70</f>
        <v>0</v>
      </c>
      <c r="D78" s="10">
        <f t="shared" si="18"/>
        <v>0</v>
      </c>
      <c r="E78" s="10">
        <f t="shared" si="18"/>
        <v>0</v>
      </c>
      <c r="F78" s="10">
        <f t="shared" si="18"/>
        <v>80258</v>
      </c>
      <c r="G78" s="10">
        <f t="shared" si="18"/>
        <v>221345</v>
      </c>
      <c r="H78" s="10">
        <f t="shared" si="18"/>
        <v>2953</v>
      </c>
      <c r="I78" s="10">
        <f t="shared" si="18"/>
        <v>21468</v>
      </c>
      <c r="J78" s="10">
        <f t="shared" si="18"/>
        <v>297945</v>
      </c>
      <c r="K78" s="10">
        <f t="shared" si="18"/>
        <v>903957</v>
      </c>
      <c r="L78" s="10">
        <f t="shared" si="18"/>
        <v>9508</v>
      </c>
      <c r="M78" s="10">
        <f t="shared" si="18"/>
        <v>26084</v>
      </c>
      <c r="N78" s="10">
        <f t="shared" si="18"/>
        <v>19331</v>
      </c>
      <c r="O78" s="10">
        <f t="shared" si="18"/>
        <v>54146</v>
      </c>
      <c r="P78" s="10">
        <f t="shared" si="18"/>
        <v>0</v>
      </c>
      <c r="Q78" s="10">
        <f t="shared" si="18"/>
        <v>138</v>
      </c>
      <c r="R78" s="10">
        <f t="shared" si="18"/>
        <v>2</v>
      </c>
      <c r="S78" s="10">
        <f t="shared" si="18"/>
        <v>76</v>
      </c>
      <c r="T78" s="10">
        <f t="shared" si="18"/>
        <v>19790.240000000002</v>
      </c>
      <c r="U78" s="10">
        <f t="shared" si="18"/>
        <v>43372.85</v>
      </c>
      <c r="V78" s="10">
        <f t="shared" si="18"/>
        <v>9164</v>
      </c>
      <c r="W78" s="10">
        <f t="shared" si="18"/>
        <v>28725</v>
      </c>
      <c r="X78" s="10">
        <f t="shared" si="18"/>
        <v>-214</v>
      </c>
      <c r="Y78" s="10">
        <f t="shared" si="18"/>
        <v>941</v>
      </c>
      <c r="Z78" s="10">
        <f t="shared" si="18"/>
        <v>85407</v>
      </c>
      <c r="AA78" s="10">
        <f t="shared" si="18"/>
        <v>285157</v>
      </c>
      <c r="AB78" s="10">
        <f t="shared" si="18"/>
        <v>150720</v>
      </c>
      <c r="AC78" s="10">
        <f t="shared" si="18"/>
        <v>441331</v>
      </c>
      <c r="AD78" s="10">
        <f t="shared" si="18"/>
        <v>103492</v>
      </c>
      <c r="AE78" s="10">
        <f t="shared" si="18"/>
        <v>299234</v>
      </c>
      <c r="AF78" s="10">
        <f t="shared" si="18"/>
        <v>5958</v>
      </c>
      <c r="AG78" s="10">
        <f t="shared" si="18"/>
        <v>15413</v>
      </c>
      <c r="AH78" s="10">
        <f t="shared" si="18"/>
        <v>26438</v>
      </c>
      <c r="AI78" s="10">
        <f t="shared" si="18"/>
        <v>75530</v>
      </c>
      <c r="AJ78" s="10">
        <f t="shared" si="18"/>
        <v>2100</v>
      </c>
      <c r="AK78" s="10">
        <f t="shared" si="18"/>
        <v>383393</v>
      </c>
      <c r="AL78" s="10">
        <f t="shared" si="18"/>
        <v>0</v>
      </c>
      <c r="AM78" s="10">
        <f t="shared" si="18"/>
        <v>0</v>
      </c>
      <c r="AN78" s="10">
        <f t="shared" si="18"/>
        <v>0</v>
      </c>
      <c r="AO78" s="10">
        <f t="shared" si="18"/>
        <v>0</v>
      </c>
      <c r="AP78" s="10">
        <f t="shared" si="18"/>
        <v>101980.18099999985</v>
      </c>
      <c r="AQ78" s="10">
        <f t="shared" si="18"/>
        <v>311876.53200000041</v>
      </c>
      <c r="AR78" s="10">
        <f t="shared" si="18"/>
        <v>277851</v>
      </c>
      <c r="AS78" s="10">
        <f t="shared" si="18"/>
        <v>1067455</v>
      </c>
      <c r="AT78" s="10">
        <f t="shared" si="18"/>
        <v>477302</v>
      </c>
      <c r="AU78" s="10">
        <f t="shared" si="18"/>
        <v>955082</v>
      </c>
      <c r="AV78" s="10">
        <f t="shared" si="18"/>
        <v>13875</v>
      </c>
      <c r="AW78" s="10">
        <f t="shared" si="18"/>
        <v>48765</v>
      </c>
      <c r="AX78" s="10">
        <f t="shared" si="18"/>
        <v>23966</v>
      </c>
      <c r="AY78" s="10">
        <f t="shared" si="18"/>
        <v>71800</v>
      </c>
      <c r="AZ78" s="10">
        <f t="shared" si="18"/>
        <v>0</v>
      </c>
      <c r="BA78" s="10">
        <f t="shared" si="18"/>
        <v>0</v>
      </c>
      <c r="BB78" s="10">
        <f t="shared" si="18"/>
        <v>0</v>
      </c>
      <c r="BC78" s="10">
        <f t="shared" si="18"/>
        <v>0</v>
      </c>
      <c r="BD78" s="10">
        <f t="shared" si="18"/>
        <v>3409</v>
      </c>
      <c r="BE78" s="10">
        <f t="shared" si="18"/>
        <v>12775</v>
      </c>
      <c r="BF78" s="10">
        <f t="shared" si="18"/>
        <v>61694</v>
      </c>
      <c r="BG78" s="10">
        <f t="shared" si="18"/>
        <v>162880</v>
      </c>
      <c r="BH78" s="10">
        <f t="shared" si="18"/>
        <v>4037</v>
      </c>
      <c r="BI78" s="10">
        <f t="shared" si="18"/>
        <v>10222</v>
      </c>
      <c r="BJ78" s="10">
        <f t="shared" si="18"/>
        <v>2347247</v>
      </c>
      <c r="BK78" s="10">
        <f t="shared" si="18"/>
        <v>5926840</v>
      </c>
      <c r="BL78" s="10">
        <f t="shared" si="18"/>
        <v>43717</v>
      </c>
      <c r="BM78" s="10">
        <f t="shared" si="18"/>
        <v>113901</v>
      </c>
      <c r="BN78" s="10">
        <f t="shared" si="18"/>
        <v>131043</v>
      </c>
      <c r="BO78" s="10">
        <f t="shared" ref="BO78:BQ78" si="19">BO86-BO62-BO54-BO46-BO38-BO30-BO22-BO14-BO6-BO70</f>
        <v>416392</v>
      </c>
      <c r="BP78" s="10">
        <f t="shared" si="19"/>
        <v>16688</v>
      </c>
      <c r="BQ78" s="10">
        <f t="shared" si="19"/>
        <v>59797</v>
      </c>
      <c r="BR78" s="85">
        <f t="shared" ref="BR78:BR81" si="20">SUM(B78+D78+F78+H78+J78+L78+N78+P78+R78+T78+V78+X78+Z78+AB78+AD78+AF78+AH78+AJ78+AL78+AN78+AP78+AR78+AT78+AV78+AX78+AZ78+BB78+BD78+BF78+BH78+BJ78+BL78+BN78+BP78)</f>
        <v>4315661.4210000001</v>
      </c>
      <c r="BS78" s="85">
        <f t="shared" ref="BS78:BS81" si="21">SUM(C78+E78+G78+I78+K78+M78+O78+Q78+S78+U78+W78+Y78+AA78+AC78+AE78+AG78+AI78+AK78+AM78+AO78+AQ78+AS78+AU78+AW78+AY78+BA78+BC78+BE78+BG78+BI78+BK78+BM78+BO78+BQ78)</f>
        <v>11958096.382000001</v>
      </c>
    </row>
    <row r="79" spans="1:71" x14ac:dyDescent="0.25">
      <c r="A79" s="30" t="s">
        <v>289</v>
      </c>
      <c r="B79" s="10">
        <f t="shared" ref="B79:Q81" si="22">B87-B63-B55-B47-B39-B31-B23-B15-B7-B71</f>
        <v>0</v>
      </c>
      <c r="C79" s="10">
        <f t="shared" si="22"/>
        <v>0</v>
      </c>
      <c r="D79" s="10">
        <f t="shared" si="22"/>
        <v>0</v>
      </c>
      <c r="E79" s="10">
        <f t="shared" si="22"/>
        <v>0</v>
      </c>
      <c r="F79" s="10">
        <f t="shared" si="22"/>
        <v>0</v>
      </c>
      <c r="G79" s="10">
        <f t="shared" si="22"/>
        <v>-53</v>
      </c>
      <c r="H79" s="10">
        <f t="shared" si="22"/>
        <v>0</v>
      </c>
      <c r="I79" s="10">
        <f t="shared" si="22"/>
        <v>0</v>
      </c>
      <c r="J79" s="10">
        <f t="shared" si="22"/>
        <v>-1</v>
      </c>
      <c r="K79" s="10">
        <f t="shared" si="22"/>
        <v>152</v>
      </c>
      <c r="L79" s="10">
        <f t="shared" si="22"/>
        <v>2</v>
      </c>
      <c r="M79" s="10">
        <f t="shared" si="22"/>
        <v>1</v>
      </c>
      <c r="N79" s="10">
        <f t="shared" si="22"/>
        <v>0</v>
      </c>
      <c r="O79" s="10">
        <f t="shared" si="22"/>
        <v>0</v>
      </c>
      <c r="P79" s="10">
        <f t="shared" si="22"/>
        <v>0</v>
      </c>
      <c r="Q79" s="10">
        <f t="shared" si="22"/>
        <v>0</v>
      </c>
      <c r="R79" s="10">
        <f t="shared" ref="R79:BQ79" si="23">R87-R63-R55-R47-R39-R31-R23-R15-R7-R71</f>
        <v>1</v>
      </c>
      <c r="S79" s="10">
        <f t="shared" si="23"/>
        <v>1</v>
      </c>
      <c r="T79" s="10">
        <f t="shared" si="23"/>
        <v>0</v>
      </c>
      <c r="U79" s="10">
        <f t="shared" si="23"/>
        <v>0</v>
      </c>
      <c r="V79" s="10">
        <f t="shared" si="23"/>
        <v>8</v>
      </c>
      <c r="W79" s="10">
        <f t="shared" si="23"/>
        <v>0</v>
      </c>
      <c r="X79" s="10">
        <f t="shared" si="23"/>
        <v>1318</v>
      </c>
      <c r="Y79" s="10">
        <f t="shared" si="23"/>
        <v>3708</v>
      </c>
      <c r="Z79" s="10">
        <f t="shared" si="23"/>
        <v>13485</v>
      </c>
      <c r="AA79" s="10">
        <f t="shared" si="23"/>
        <v>33253</v>
      </c>
      <c r="AB79" s="10">
        <f t="shared" si="23"/>
        <v>1770</v>
      </c>
      <c r="AC79" s="10">
        <f t="shared" si="23"/>
        <v>9960</v>
      </c>
      <c r="AD79" s="10">
        <f t="shared" si="23"/>
        <v>1799</v>
      </c>
      <c r="AE79" s="10">
        <f t="shared" si="23"/>
        <v>4291</v>
      </c>
      <c r="AF79" s="10">
        <f t="shared" si="23"/>
        <v>0</v>
      </c>
      <c r="AG79" s="10">
        <f t="shared" si="23"/>
        <v>0</v>
      </c>
      <c r="AH79" s="10">
        <f t="shared" si="23"/>
        <v>0</v>
      </c>
      <c r="AI79" s="10">
        <f t="shared" si="23"/>
        <v>0</v>
      </c>
      <c r="AJ79" s="10">
        <f t="shared" si="23"/>
        <v>19</v>
      </c>
      <c r="AK79" s="10">
        <f t="shared" si="23"/>
        <v>-1135</v>
      </c>
      <c r="AL79" s="10">
        <f t="shared" si="23"/>
        <v>0</v>
      </c>
      <c r="AM79" s="10">
        <f t="shared" si="23"/>
        <v>0</v>
      </c>
      <c r="AN79" s="10">
        <f t="shared" si="23"/>
        <v>0</v>
      </c>
      <c r="AO79" s="10">
        <f t="shared" si="23"/>
        <v>0</v>
      </c>
      <c r="AP79" s="10">
        <f t="shared" si="23"/>
        <v>221.52500000000509</v>
      </c>
      <c r="AQ79" s="10">
        <f t="shared" si="23"/>
        <v>12944.118000000002</v>
      </c>
      <c r="AR79" s="10">
        <f t="shared" si="23"/>
        <v>3563</v>
      </c>
      <c r="AS79" s="10">
        <f t="shared" si="23"/>
        <v>14924</v>
      </c>
      <c r="AT79" s="10">
        <f t="shared" si="23"/>
        <v>2429</v>
      </c>
      <c r="AU79" s="10">
        <f t="shared" si="23"/>
        <v>32077</v>
      </c>
      <c r="AV79" s="10">
        <f t="shared" si="23"/>
        <v>10981</v>
      </c>
      <c r="AW79" s="10">
        <f t="shared" si="23"/>
        <v>30955</v>
      </c>
      <c r="AX79" s="10">
        <f t="shared" si="23"/>
        <v>1</v>
      </c>
      <c r="AY79" s="10">
        <f t="shared" si="23"/>
        <v>25</v>
      </c>
      <c r="AZ79" s="10">
        <f t="shared" si="23"/>
        <v>0</v>
      </c>
      <c r="BA79" s="10">
        <f t="shared" si="23"/>
        <v>0</v>
      </c>
      <c r="BB79" s="10">
        <f t="shared" si="23"/>
        <v>0</v>
      </c>
      <c r="BC79" s="10">
        <f t="shared" si="23"/>
        <v>0</v>
      </c>
      <c r="BD79" s="10">
        <f t="shared" si="23"/>
        <v>0</v>
      </c>
      <c r="BE79" s="10">
        <f t="shared" si="23"/>
        <v>1116</v>
      </c>
      <c r="BF79" s="10">
        <f t="shared" si="23"/>
        <v>0</v>
      </c>
      <c r="BG79" s="10">
        <f t="shared" si="23"/>
        <v>0</v>
      </c>
      <c r="BH79" s="10">
        <f t="shared" si="23"/>
        <v>0</v>
      </c>
      <c r="BI79" s="10">
        <f t="shared" si="23"/>
        <v>0</v>
      </c>
      <c r="BJ79" s="10">
        <f t="shared" si="23"/>
        <v>0</v>
      </c>
      <c r="BK79" s="10">
        <f t="shared" si="23"/>
        <v>0</v>
      </c>
      <c r="BL79" s="10">
        <f t="shared" si="23"/>
        <v>0</v>
      </c>
      <c r="BM79" s="10">
        <f t="shared" si="23"/>
        <v>0</v>
      </c>
      <c r="BN79" s="10">
        <f t="shared" si="23"/>
        <v>56</v>
      </c>
      <c r="BO79" s="10">
        <f t="shared" si="23"/>
        <v>-39579</v>
      </c>
      <c r="BP79" s="10">
        <f t="shared" si="23"/>
        <v>0</v>
      </c>
      <c r="BQ79" s="10">
        <f t="shared" si="23"/>
        <v>0</v>
      </c>
      <c r="BR79" s="85">
        <f t="shared" si="20"/>
        <v>35652.525000000009</v>
      </c>
      <c r="BS79" s="85">
        <f t="shared" si="21"/>
        <v>102640.11800000002</v>
      </c>
    </row>
    <row r="80" spans="1:71" x14ac:dyDescent="0.25">
      <c r="A80" s="30" t="s">
        <v>290</v>
      </c>
      <c r="B80" s="10">
        <f t="shared" si="22"/>
        <v>0</v>
      </c>
      <c r="C80" s="10">
        <f t="shared" si="22"/>
        <v>0</v>
      </c>
      <c r="D80" s="10">
        <f t="shared" si="22"/>
        <v>0</v>
      </c>
      <c r="E80" s="10">
        <f t="shared" si="22"/>
        <v>0</v>
      </c>
      <c r="F80" s="10">
        <f t="shared" si="22"/>
        <v>433269</v>
      </c>
      <c r="G80" s="10">
        <f t="shared" si="22"/>
        <v>2464387</v>
      </c>
      <c r="H80" s="10">
        <f t="shared" si="22"/>
        <v>218</v>
      </c>
      <c r="I80" s="10">
        <f t="shared" si="22"/>
        <v>1583</v>
      </c>
      <c r="J80" s="10">
        <f t="shared" si="22"/>
        <v>469987</v>
      </c>
      <c r="K80" s="10">
        <f t="shared" si="22"/>
        <v>1825504</v>
      </c>
      <c r="L80" s="10">
        <f t="shared" si="22"/>
        <v>6112</v>
      </c>
      <c r="M80" s="10">
        <f t="shared" si="22"/>
        <v>17601</v>
      </c>
      <c r="N80" s="10">
        <f t="shared" si="22"/>
        <v>1678</v>
      </c>
      <c r="O80" s="10">
        <f t="shared" si="22"/>
        <v>5041</v>
      </c>
      <c r="P80" s="10">
        <f t="shared" si="22"/>
        <v>-213</v>
      </c>
      <c r="Q80" s="10">
        <f t="shared" si="22"/>
        <v>-368</v>
      </c>
      <c r="R80" s="10">
        <f t="shared" ref="R80:BQ80" si="24">R88-R64-R56-R48-R40-R32-R24-R16-R8-R72</f>
        <v>3</v>
      </c>
      <c r="S80" s="10">
        <f t="shared" si="24"/>
        <v>14</v>
      </c>
      <c r="T80" s="10">
        <f t="shared" si="24"/>
        <v>107316.8</v>
      </c>
      <c r="U80" s="10">
        <f t="shared" si="24"/>
        <v>314739.77</v>
      </c>
      <c r="V80" s="10">
        <f t="shared" si="24"/>
        <v>522</v>
      </c>
      <c r="W80" s="10">
        <f t="shared" si="24"/>
        <v>1692</v>
      </c>
      <c r="X80" s="10">
        <f t="shared" si="24"/>
        <v>1163</v>
      </c>
      <c r="Y80" s="10">
        <f t="shared" si="24"/>
        <v>5953</v>
      </c>
      <c r="Z80" s="10">
        <f t="shared" si="24"/>
        <v>-75711</v>
      </c>
      <c r="AA80" s="10">
        <f t="shared" si="24"/>
        <v>-257095</v>
      </c>
      <c r="AB80" s="10">
        <f t="shared" si="24"/>
        <v>314775</v>
      </c>
      <c r="AC80" s="10">
        <f t="shared" si="24"/>
        <v>483875</v>
      </c>
      <c r="AD80" s="10">
        <f t="shared" si="24"/>
        <v>36021</v>
      </c>
      <c r="AE80" s="10">
        <f t="shared" si="24"/>
        <v>172193</v>
      </c>
      <c r="AF80" s="10">
        <f t="shared" si="24"/>
        <v>1313</v>
      </c>
      <c r="AG80" s="10">
        <f t="shared" si="24"/>
        <v>3977</v>
      </c>
      <c r="AH80" s="10">
        <f t="shared" si="24"/>
        <v>4838</v>
      </c>
      <c r="AI80" s="10">
        <f t="shared" si="24"/>
        <v>20798</v>
      </c>
      <c r="AJ80" s="10">
        <f t="shared" si="24"/>
        <v>-7274</v>
      </c>
      <c r="AK80" s="10">
        <f t="shared" si="24"/>
        <v>-755812</v>
      </c>
      <c r="AL80" s="10">
        <f t="shared" si="24"/>
        <v>0</v>
      </c>
      <c r="AM80" s="10">
        <f t="shared" si="24"/>
        <v>0</v>
      </c>
      <c r="AN80" s="10">
        <f t="shared" si="24"/>
        <v>0</v>
      </c>
      <c r="AO80" s="10">
        <f t="shared" si="24"/>
        <v>0</v>
      </c>
      <c r="AP80" s="10">
        <f t="shared" si="24"/>
        <v>424165.81457250006</v>
      </c>
      <c r="AQ80" s="10">
        <f t="shared" si="24"/>
        <v>559068.63557250029</v>
      </c>
      <c r="AR80" s="10">
        <f t="shared" si="24"/>
        <v>8396</v>
      </c>
      <c r="AS80" s="10">
        <f t="shared" si="24"/>
        <v>172586</v>
      </c>
      <c r="AT80" s="10">
        <f t="shared" si="24"/>
        <v>125352</v>
      </c>
      <c r="AU80" s="10">
        <f t="shared" si="24"/>
        <v>505469</v>
      </c>
      <c r="AV80" s="10">
        <f t="shared" si="24"/>
        <v>4396</v>
      </c>
      <c r="AW80" s="10">
        <f t="shared" si="24"/>
        <v>20367</v>
      </c>
      <c r="AX80" s="10">
        <f t="shared" si="24"/>
        <v>3834</v>
      </c>
      <c r="AY80" s="10">
        <f t="shared" si="24"/>
        <v>10373</v>
      </c>
      <c r="AZ80" s="10">
        <f t="shared" si="24"/>
        <v>0</v>
      </c>
      <c r="BA80" s="10">
        <f t="shared" si="24"/>
        <v>0</v>
      </c>
      <c r="BB80" s="10">
        <f t="shared" si="24"/>
        <v>0</v>
      </c>
      <c r="BC80" s="10">
        <f t="shared" si="24"/>
        <v>0</v>
      </c>
      <c r="BD80" s="10">
        <f t="shared" si="24"/>
        <v>-1980</v>
      </c>
      <c r="BE80" s="10">
        <f t="shared" si="24"/>
        <v>-16901</v>
      </c>
      <c r="BF80" s="10">
        <f t="shared" si="24"/>
        <v>34836</v>
      </c>
      <c r="BG80" s="10">
        <f t="shared" si="24"/>
        <v>87325</v>
      </c>
      <c r="BH80" s="10">
        <f t="shared" si="24"/>
        <v>2168</v>
      </c>
      <c r="BI80" s="10">
        <f t="shared" si="24"/>
        <v>3705</v>
      </c>
      <c r="BJ80" s="10">
        <f t="shared" si="24"/>
        <v>1042144</v>
      </c>
      <c r="BK80" s="10">
        <f t="shared" si="24"/>
        <v>2785484</v>
      </c>
      <c r="BL80" s="10">
        <f t="shared" si="24"/>
        <v>26005</v>
      </c>
      <c r="BM80" s="10">
        <f t="shared" si="24"/>
        <v>138319</v>
      </c>
      <c r="BN80" s="10">
        <f t="shared" si="24"/>
        <v>252424</v>
      </c>
      <c r="BO80" s="10">
        <f t="shared" si="24"/>
        <v>618119</v>
      </c>
      <c r="BP80" s="10">
        <f t="shared" si="24"/>
        <v>2351</v>
      </c>
      <c r="BQ80" s="10">
        <f t="shared" si="24"/>
        <v>11222</v>
      </c>
      <c r="BR80" s="85">
        <f t="shared" si="20"/>
        <v>3218109.6145724999</v>
      </c>
      <c r="BS80" s="85">
        <f t="shared" si="21"/>
        <v>9199219.4055725001</v>
      </c>
    </row>
    <row r="81" spans="1:71" x14ac:dyDescent="0.25">
      <c r="A81" s="30" t="s">
        <v>239</v>
      </c>
      <c r="B81" s="10">
        <f t="shared" si="22"/>
        <v>0</v>
      </c>
      <c r="C81" s="10">
        <f t="shared" si="22"/>
        <v>0</v>
      </c>
      <c r="D81" s="10">
        <f t="shared" si="22"/>
        <v>0</v>
      </c>
      <c r="E81" s="10">
        <f t="shared" si="22"/>
        <v>0</v>
      </c>
      <c r="F81" s="10">
        <f t="shared" si="22"/>
        <v>-353011</v>
      </c>
      <c r="G81" s="10">
        <f t="shared" si="22"/>
        <v>-2243095</v>
      </c>
      <c r="H81" s="10">
        <f t="shared" si="22"/>
        <v>2735</v>
      </c>
      <c r="I81" s="10">
        <f t="shared" si="22"/>
        <v>19885</v>
      </c>
      <c r="J81" s="10">
        <f t="shared" si="22"/>
        <v>-172043</v>
      </c>
      <c r="K81" s="10">
        <f t="shared" si="22"/>
        <v>-921395</v>
      </c>
      <c r="L81" s="10">
        <f t="shared" si="22"/>
        <v>3400</v>
      </c>
      <c r="M81" s="10">
        <f t="shared" si="22"/>
        <v>8486</v>
      </c>
      <c r="N81" s="10">
        <f t="shared" si="22"/>
        <v>17653</v>
      </c>
      <c r="O81" s="10">
        <f t="shared" si="22"/>
        <v>49105</v>
      </c>
      <c r="P81" s="10">
        <f t="shared" si="22"/>
        <v>-213</v>
      </c>
      <c r="Q81" s="10">
        <f t="shared" si="22"/>
        <v>-230</v>
      </c>
      <c r="R81" s="10">
        <f t="shared" ref="R81:BQ81" si="25">R89-R65-R57-R49-R41-R33-R25-R17-R9-R73</f>
        <v>0</v>
      </c>
      <c r="S81" s="10">
        <f t="shared" si="25"/>
        <v>63</v>
      </c>
      <c r="T81" s="10">
        <f t="shared" si="25"/>
        <v>-87526.56</v>
      </c>
      <c r="U81" s="10">
        <f t="shared" si="25"/>
        <v>-271366.92</v>
      </c>
      <c r="V81" s="10">
        <f t="shared" si="25"/>
        <v>8641</v>
      </c>
      <c r="W81" s="10">
        <f t="shared" si="25"/>
        <v>27033</v>
      </c>
      <c r="X81" s="10">
        <f t="shared" si="25"/>
        <v>-59</v>
      </c>
      <c r="Y81" s="10">
        <f t="shared" si="25"/>
        <v>-1303</v>
      </c>
      <c r="Z81" s="10">
        <f t="shared" si="25"/>
        <v>23181</v>
      </c>
      <c r="AA81" s="10">
        <f t="shared" si="25"/>
        <v>61315</v>
      </c>
      <c r="AB81" s="10">
        <f t="shared" si="25"/>
        <v>-162285</v>
      </c>
      <c r="AC81" s="10">
        <f t="shared" si="25"/>
        <v>-32584</v>
      </c>
      <c r="AD81" s="10">
        <f t="shared" si="25"/>
        <v>69270</v>
      </c>
      <c r="AE81" s="10">
        <f t="shared" si="25"/>
        <v>131332</v>
      </c>
      <c r="AF81" s="10">
        <f t="shared" si="25"/>
        <v>4645</v>
      </c>
      <c r="AG81" s="10">
        <f t="shared" si="25"/>
        <v>11436</v>
      </c>
      <c r="AH81" s="10">
        <f t="shared" si="25"/>
        <v>21599</v>
      </c>
      <c r="AI81" s="10">
        <f t="shared" si="25"/>
        <v>54731</v>
      </c>
      <c r="AJ81" s="10">
        <f t="shared" si="25"/>
        <v>-5155</v>
      </c>
      <c r="AK81" s="10">
        <f t="shared" si="25"/>
        <v>-373554</v>
      </c>
      <c r="AL81" s="10">
        <f t="shared" si="25"/>
        <v>0</v>
      </c>
      <c r="AM81" s="10">
        <f t="shared" si="25"/>
        <v>0</v>
      </c>
      <c r="AN81" s="10">
        <f t="shared" si="25"/>
        <v>0</v>
      </c>
      <c r="AO81" s="10">
        <f t="shared" si="25"/>
        <v>0</v>
      </c>
      <c r="AP81" s="10">
        <f t="shared" si="25"/>
        <v>-321964.10857250012</v>
      </c>
      <c r="AQ81" s="10">
        <f t="shared" si="25"/>
        <v>-234247.98557249951</v>
      </c>
      <c r="AR81" s="10">
        <f t="shared" si="25"/>
        <v>273017</v>
      </c>
      <c r="AS81" s="10">
        <f t="shared" si="25"/>
        <v>909794</v>
      </c>
      <c r="AT81" s="10">
        <f t="shared" si="25"/>
        <v>354379</v>
      </c>
      <c r="AU81" s="10">
        <f t="shared" si="25"/>
        <v>481690</v>
      </c>
      <c r="AV81" s="10">
        <f t="shared" si="25"/>
        <v>20460</v>
      </c>
      <c r="AW81" s="10">
        <f t="shared" si="25"/>
        <v>59353</v>
      </c>
      <c r="AX81" s="10">
        <f t="shared" si="25"/>
        <v>20133</v>
      </c>
      <c r="AY81" s="10">
        <f t="shared" si="25"/>
        <v>61470</v>
      </c>
      <c r="AZ81" s="10">
        <f t="shared" si="25"/>
        <v>0</v>
      </c>
      <c r="BA81" s="10">
        <f t="shared" si="25"/>
        <v>0</v>
      </c>
      <c r="BB81" s="10">
        <f t="shared" si="25"/>
        <v>0</v>
      </c>
      <c r="BC81" s="10">
        <f t="shared" si="25"/>
        <v>0</v>
      </c>
      <c r="BD81" s="10">
        <f t="shared" si="25"/>
        <v>1429</v>
      </c>
      <c r="BE81" s="10">
        <f t="shared" si="25"/>
        <v>-3010</v>
      </c>
      <c r="BF81" s="10">
        <f t="shared" si="25"/>
        <v>26858</v>
      </c>
      <c r="BG81" s="10">
        <f t="shared" si="25"/>
        <v>75555</v>
      </c>
      <c r="BH81" s="10">
        <f t="shared" si="25"/>
        <v>1868</v>
      </c>
      <c r="BI81" s="10">
        <f t="shared" si="25"/>
        <v>6517</v>
      </c>
      <c r="BJ81" s="10">
        <f t="shared" si="25"/>
        <v>1305103</v>
      </c>
      <c r="BK81" s="10">
        <f t="shared" si="25"/>
        <v>3141356</v>
      </c>
      <c r="BL81" s="10">
        <f t="shared" si="25"/>
        <v>17712</v>
      </c>
      <c r="BM81" s="10">
        <f t="shared" si="25"/>
        <v>-24418</v>
      </c>
      <c r="BN81" s="10">
        <f t="shared" si="25"/>
        <v>-121325</v>
      </c>
      <c r="BO81" s="10">
        <f t="shared" si="25"/>
        <v>-241306</v>
      </c>
      <c r="BP81" s="10">
        <f t="shared" si="25"/>
        <v>14337</v>
      </c>
      <c r="BQ81" s="10">
        <f t="shared" si="25"/>
        <v>48575</v>
      </c>
      <c r="BR81" s="85">
        <f t="shared" si="20"/>
        <v>962838.33142749988</v>
      </c>
      <c r="BS81" s="85">
        <f t="shared" si="21"/>
        <v>801186.09442750039</v>
      </c>
    </row>
    <row r="82" spans="1:71" x14ac:dyDescent="0.25">
      <c r="A82" s="28"/>
    </row>
    <row r="83" spans="1:71" x14ac:dyDescent="0.25">
      <c r="A83" s="29" t="s">
        <v>55</v>
      </c>
    </row>
    <row r="84" spans="1:71" x14ac:dyDescent="0.25">
      <c r="A84" s="3" t="s">
        <v>0</v>
      </c>
      <c r="B84" s="107" t="s">
        <v>1</v>
      </c>
      <c r="C84" s="108"/>
      <c r="D84" s="107" t="s">
        <v>2</v>
      </c>
      <c r="E84" s="108"/>
      <c r="F84" s="107" t="s">
        <v>3</v>
      </c>
      <c r="G84" s="108"/>
      <c r="H84" s="107" t="s">
        <v>307</v>
      </c>
      <c r="I84" s="108"/>
      <c r="J84" s="107" t="s">
        <v>5</v>
      </c>
      <c r="K84" s="108"/>
      <c r="L84" s="107" t="s">
        <v>6</v>
      </c>
      <c r="M84" s="108"/>
      <c r="N84" s="107" t="s">
        <v>7</v>
      </c>
      <c r="O84" s="108"/>
      <c r="P84" s="107" t="s">
        <v>8</v>
      </c>
      <c r="Q84" s="108"/>
      <c r="R84" s="107" t="s">
        <v>9</v>
      </c>
      <c r="S84" s="108"/>
      <c r="T84" s="107" t="s">
        <v>10</v>
      </c>
      <c r="U84" s="108"/>
      <c r="V84" s="107" t="s">
        <v>11</v>
      </c>
      <c r="W84" s="108"/>
      <c r="X84" s="107" t="s">
        <v>12</v>
      </c>
      <c r="Y84" s="108"/>
      <c r="Z84" s="107" t="s">
        <v>13</v>
      </c>
      <c r="AA84" s="108"/>
      <c r="AB84" s="107" t="s">
        <v>14</v>
      </c>
      <c r="AC84" s="108"/>
      <c r="AD84" s="107" t="s">
        <v>15</v>
      </c>
      <c r="AE84" s="108"/>
      <c r="AF84" s="107" t="s">
        <v>16</v>
      </c>
      <c r="AG84" s="108"/>
      <c r="AH84" s="107" t="s">
        <v>17</v>
      </c>
      <c r="AI84" s="108"/>
      <c r="AJ84" s="107" t="s">
        <v>18</v>
      </c>
      <c r="AK84" s="108"/>
      <c r="AL84" s="107" t="s">
        <v>296</v>
      </c>
      <c r="AM84" s="108"/>
      <c r="AN84" s="107" t="s">
        <v>19</v>
      </c>
      <c r="AO84" s="108"/>
      <c r="AP84" s="107" t="s">
        <v>20</v>
      </c>
      <c r="AQ84" s="108"/>
      <c r="AR84" s="107" t="s">
        <v>21</v>
      </c>
      <c r="AS84" s="108"/>
      <c r="AT84" s="107" t="s">
        <v>22</v>
      </c>
      <c r="AU84" s="108"/>
      <c r="AV84" s="107" t="s">
        <v>23</v>
      </c>
      <c r="AW84" s="108"/>
      <c r="AX84" s="107" t="s">
        <v>24</v>
      </c>
      <c r="AY84" s="108"/>
      <c r="AZ84" s="107" t="s">
        <v>25</v>
      </c>
      <c r="BA84" s="108"/>
      <c r="BB84" s="107" t="s">
        <v>26</v>
      </c>
      <c r="BC84" s="108"/>
      <c r="BD84" s="107" t="s">
        <v>27</v>
      </c>
      <c r="BE84" s="108"/>
      <c r="BF84" s="107" t="s">
        <v>28</v>
      </c>
      <c r="BG84" s="108"/>
      <c r="BH84" s="107" t="s">
        <v>29</v>
      </c>
      <c r="BI84" s="108"/>
      <c r="BJ84" s="107" t="s">
        <v>30</v>
      </c>
      <c r="BK84" s="108"/>
      <c r="BL84" s="107" t="s">
        <v>31</v>
      </c>
      <c r="BM84" s="108"/>
      <c r="BN84" s="111" t="s">
        <v>32</v>
      </c>
      <c r="BO84" s="112"/>
      <c r="BP84" s="107" t="s">
        <v>33</v>
      </c>
      <c r="BQ84" s="108"/>
      <c r="BR84" s="109" t="s">
        <v>34</v>
      </c>
      <c r="BS84" s="110"/>
    </row>
    <row r="85" spans="1:71" ht="30" x14ac:dyDescent="0.25">
      <c r="A85" s="3"/>
      <c r="B85" s="66" t="s">
        <v>294</v>
      </c>
      <c r="C85" s="67" t="s">
        <v>295</v>
      </c>
      <c r="D85" s="66" t="s">
        <v>294</v>
      </c>
      <c r="E85" s="67" t="s">
        <v>295</v>
      </c>
      <c r="F85" s="66" t="s">
        <v>294</v>
      </c>
      <c r="G85" s="67" t="s">
        <v>295</v>
      </c>
      <c r="H85" s="66" t="s">
        <v>294</v>
      </c>
      <c r="I85" s="67" t="s">
        <v>295</v>
      </c>
      <c r="J85" s="66" t="s">
        <v>294</v>
      </c>
      <c r="K85" s="67" t="s">
        <v>295</v>
      </c>
      <c r="L85" s="66" t="s">
        <v>294</v>
      </c>
      <c r="M85" s="67" t="s">
        <v>295</v>
      </c>
      <c r="N85" s="66" t="s">
        <v>294</v>
      </c>
      <c r="O85" s="67" t="s">
        <v>295</v>
      </c>
      <c r="P85" s="66" t="s">
        <v>294</v>
      </c>
      <c r="Q85" s="67" t="s">
        <v>295</v>
      </c>
      <c r="R85" s="66" t="s">
        <v>294</v>
      </c>
      <c r="S85" s="67" t="s">
        <v>295</v>
      </c>
      <c r="T85" s="66" t="s">
        <v>294</v>
      </c>
      <c r="U85" s="67" t="s">
        <v>295</v>
      </c>
      <c r="V85" s="66" t="s">
        <v>294</v>
      </c>
      <c r="W85" s="67" t="s">
        <v>295</v>
      </c>
      <c r="X85" s="66" t="s">
        <v>294</v>
      </c>
      <c r="Y85" s="67" t="s">
        <v>295</v>
      </c>
      <c r="Z85" s="66" t="s">
        <v>294</v>
      </c>
      <c r="AA85" s="67" t="s">
        <v>295</v>
      </c>
      <c r="AB85" s="66" t="s">
        <v>294</v>
      </c>
      <c r="AC85" s="67" t="s">
        <v>295</v>
      </c>
      <c r="AD85" s="66" t="s">
        <v>294</v>
      </c>
      <c r="AE85" s="67" t="s">
        <v>295</v>
      </c>
      <c r="AF85" s="66" t="s">
        <v>294</v>
      </c>
      <c r="AG85" s="67" t="s">
        <v>295</v>
      </c>
      <c r="AH85" s="66" t="s">
        <v>294</v>
      </c>
      <c r="AI85" s="67" t="s">
        <v>295</v>
      </c>
      <c r="AJ85" s="66" t="s">
        <v>294</v>
      </c>
      <c r="AK85" s="67" t="s">
        <v>295</v>
      </c>
      <c r="AL85" s="66" t="s">
        <v>294</v>
      </c>
      <c r="AM85" s="67" t="s">
        <v>295</v>
      </c>
      <c r="AN85" s="66" t="s">
        <v>294</v>
      </c>
      <c r="AO85" s="67" t="s">
        <v>295</v>
      </c>
      <c r="AP85" s="66" t="s">
        <v>294</v>
      </c>
      <c r="AQ85" s="67" t="s">
        <v>295</v>
      </c>
      <c r="AR85" s="66" t="s">
        <v>294</v>
      </c>
      <c r="AS85" s="67" t="s">
        <v>295</v>
      </c>
      <c r="AT85" s="66" t="s">
        <v>294</v>
      </c>
      <c r="AU85" s="67" t="s">
        <v>295</v>
      </c>
      <c r="AV85" s="66" t="s">
        <v>294</v>
      </c>
      <c r="AW85" s="67" t="s">
        <v>295</v>
      </c>
      <c r="AX85" s="66" t="s">
        <v>294</v>
      </c>
      <c r="AY85" s="67" t="s">
        <v>295</v>
      </c>
      <c r="AZ85" s="66" t="s">
        <v>294</v>
      </c>
      <c r="BA85" s="67" t="s">
        <v>295</v>
      </c>
      <c r="BB85" s="66" t="s">
        <v>294</v>
      </c>
      <c r="BC85" s="67" t="s">
        <v>295</v>
      </c>
      <c r="BD85" s="66" t="s">
        <v>294</v>
      </c>
      <c r="BE85" s="67" t="s">
        <v>295</v>
      </c>
      <c r="BF85" s="66" t="s">
        <v>294</v>
      </c>
      <c r="BG85" s="67" t="s">
        <v>295</v>
      </c>
      <c r="BH85" s="66" t="s">
        <v>294</v>
      </c>
      <c r="BI85" s="67" t="s">
        <v>295</v>
      </c>
      <c r="BJ85" s="66" t="s">
        <v>294</v>
      </c>
      <c r="BK85" s="67" t="s">
        <v>295</v>
      </c>
      <c r="BL85" s="66" t="s">
        <v>294</v>
      </c>
      <c r="BM85" s="67" t="s">
        <v>295</v>
      </c>
      <c r="BN85" s="66" t="s">
        <v>294</v>
      </c>
      <c r="BO85" s="67" t="s">
        <v>295</v>
      </c>
      <c r="BP85" s="66" t="s">
        <v>294</v>
      </c>
      <c r="BQ85" s="67" t="s">
        <v>295</v>
      </c>
      <c r="BR85" s="66" t="s">
        <v>294</v>
      </c>
      <c r="BS85" s="67" t="s">
        <v>295</v>
      </c>
    </row>
    <row r="86" spans="1:71" x14ac:dyDescent="0.25">
      <c r="A86" s="30" t="s">
        <v>238</v>
      </c>
      <c r="B86" s="10">
        <v>15010</v>
      </c>
      <c r="C86" s="10">
        <v>31848</v>
      </c>
      <c r="D86" s="10">
        <v>296057</v>
      </c>
      <c r="E86" s="10">
        <v>663941</v>
      </c>
      <c r="F86" s="10">
        <v>80258</v>
      </c>
      <c r="G86" s="10">
        <v>221345</v>
      </c>
      <c r="H86" s="10">
        <v>747623</v>
      </c>
      <c r="I86" s="10">
        <v>1982384</v>
      </c>
      <c r="J86" s="10">
        <v>2167729</v>
      </c>
      <c r="K86" s="10">
        <v>6332124</v>
      </c>
      <c r="L86" s="10">
        <v>687872</v>
      </c>
      <c r="M86" s="10">
        <v>1771530</v>
      </c>
      <c r="N86" s="10">
        <v>943158</v>
      </c>
      <c r="O86" s="10">
        <v>2904252</v>
      </c>
      <c r="P86" s="10">
        <v>25686</v>
      </c>
      <c r="Q86" s="10">
        <v>95706</v>
      </c>
      <c r="R86" s="10">
        <v>36147</v>
      </c>
      <c r="S86" s="10">
        <v>66669</v>
      </c>
      <c r="T86" s="10">
        <v>19790.240000000002</v>
      </c>
      <c r="U86" s="10">
        <v>43372.85</v>
      </c>
      <c r="V86" s="10">
        <v>450577</v>
      </c>
      <c r="W86" s="10">
        <f>28725+1195599</f>
        <v>1224324</v>
      </c>
      <c r="X86" s="10">
        <v>215100</v>
      </c>
      <c r="Y86" s="10">
        <v>488860</v>
      </c>
      <c r="Z86" s="10">
        <v>1829178</v>
      </c>
      <c r="AA86" s="10">
        <v>5343669</v>
      </c>
      <c r="AB86" s="10">
        <v>3520977</v>
      </c>
      <c r="AC86" s="10">
        <v>9169555</v>
      </c>
      <c r="AD86" s="10">
        <v>1273761</v>
      </c>
      <c r="AE86" s="10">
        <v>4010454</v>
      </c>
      <c r="AF86" s="10">
        <v>114476</v>
      </c>
      <c r="AG86" s="10">
        <v>291357</v>
      </c>
      <c r="AH86" s="10">
        <v>424738</v>
      </c>
      <c r="AI86" s="10">
        <v>1243823</v>
      </c>
      <c r="AJ86" s="89">
        <v>182092</v>
      </c>
      <c r="AK86" s="30">
        <v>510399</v>
      </c>
      <c r="AL86" s="10">
        <v>167553</v>
      </c>
      <c r="AM86" s="10">
        <v>470072</v>
      </c>
      <c r="AN86" s="10">
        <v>379315</v>
      </c>
      <c r="AO86" s="10">
        <v>1025987</v>
      </c>
      <c r="AP86" s="10">
        <v>2578358.1633996624</v>
      </c>
      <c r="AQ86" s="10">
        <v>7278401.8523996631</v>
      </c>
      <c r="AR86" s="10">
        <v>5901627</v>
      </c>
      <c r="AS86" s="10">
        <v>18009364</v>
      </c>
      <c r="AT86" s="10">
        <v>2629162</v>
      </c>
      <c r="AU86" s="10">
        <v>6634140</v>
      </c>
      <c r="AV86" s="10">
        <v>20890</v>
      </c>
      <c r="AW86" s="10">
        <v>65687</v>
      </c>
      <c r="AX86" s="10">
        <v>905352</v>
      </c>
      <c r="AY86" s="10">
        <v>3114919</v>
      </c>
      <c r="AZ86" s="10"/>
      <c r="BA86" s="10"/>
      <c r="BB86" s="10">
        <v>611310</v>
      </c>
      <c r="BC86" s="10">
        <v>1715064</v>
      </c>
      <c r="BD86" s="10">
        <v>802542</v>
      </c>
      <c r="BE86" s="10">
        <v>2353839</v>
      </c>
      <c r="BF86" s="10">
        <v>1288640</v>
      </c>
      <c r="BG86" s="10">
        <v>3452596</v>
      </c>
      <c r="BH86" s="10">
        <v>450100</v>
      </c>
      <c r="BI86" s="10">
        <v>1014939</v>
      </c>
      <c r="BJ86" s="10">
        <v>2347247</v>
      </c>
      <c r="BK86" s="10">
        <v>5926840</v>
      </c>
      <c r="BL86" s="10">
        <v>1674836</v>
      </c>
      <c r="BM86" s="10">
        <v>5051405</v>
      </c>
      <c r="BN86" s="10">
        <v>2015006</v>
      </c>
      <c r="BO86" s="10">
        <v>6243866</v>
      </c>
      <c r="BP86" s="10">
        <v>328868</v>
      </c>
      <c r="BQ86" s="10">
        <v>904634</v>
      </c>
      <c r="BR86" s="85">
        <f t="shared" ref="BR86:BR89" si="26">SUM(B86+D86+F86+H86+J86+L86+N86+P86+R86+T86+V86+X86+Z86+AB86+AD86+AF86+AH86+AJ86+AL86+AN86+AP86+AR86+AT86+AV86+AX86+AZ86+BB86+BD86+BF86+BH86+BJ86+BL86+BN86+BP86)</f>
        <v>35131035.403399661</v>
      </c>
      <c r="BS86" s="85">
        <f t="shared" ref="BS86:BS89" si="27">SUM(C86+E86+G86+I86+K86+M86+O86+Q86+S86+U86+W86+Y86+AA86+AC86+AE86+AG86+AI86+AK86+AM86+AO86+AQ86+AS86+AU86+AW86+AY86+BA86+BC86+BE86+BG86+BI86+BK86+BM86+BO86+BQ86)</f>
        <v>99657366.702399671</v>
      </c>
    </row>
    <row r="87" spans="1:71" x14ac:dyDescent="0.25">
      <c r="A87" s="30" t="s">
        <v>289</v>
      </c>
      <c r="B87" s="10"/>
      <c r="C87" s="10"/>
      <c r="D87" s="10"/>
      <c r="E87" s="10"/>
      <c r="F87" s="10">
        <v>0</v>
      </c>
      <c r="G87" s="10">
        <v>-53</v>
      </c>
      <c r="H87" s="10"/>
      <c r="I87" s="10"/>
      <c r="J87" s="10">
        <v>9317</v>
      </c>
      <c r="K87" s="10">
        <v>41167</v>
      </c>
      <c r="L87" s="10">
        <v>1641</v>
      </c>
      <c r="M87" s="10">
        <v>11544</v>
      </c>
      <c r="N87" s="10">
        <v>509</v>
      </c>
      <c r="O87" s="10">
        <v>2548</v>
      </c>
      <c r="P87" s="10">
        <v>155</v>
      </c>
      <c r="Q87" s="10">
        <v>615</v>
      </c>
      <c r="R87" s="10">
        <v>2974</v>
      </c>
      <c r="S87" s="10">
        <v>7769</v>
      </c>
      <c r="T87" s="10"/>
      <c r="U87" s="10"/>
      <c r="V87" s="10">
        <v>5659</v>
      </c>
      <c r="W87" s="10">
        <v>32300</v>
      </c>
      <c r="X87" s="10">
        <v>58599</v>
      </c>
      <c r="Y87" s="10">
        <v>201257</v>
      </c>
      <c r="Z87" s="10">
        <v>27704</v>
      </c>
      <c r="AA87" s="10">
        <v>79299</v>
      </c>
      <c r="AB87" s="10">
        <v>89652</v>
      </c>
      <c r="AC87" s="10">
        <v>286788</v>
      </c>
      <c r="AD87" s="10">
        <v>22915</v>
      </c>
      <c r="AE87" s="10">
        <v>44517</v>
      </c>
      <c r="AF87" s="10">
        <v>130</v>
      </c>
      <c r="AG87" s="10">
        <v>652</v>
      </c>
      <c r="AH87" s="10">
        <v>271</v>
      </c>
      <c r="AI87" s="10">
        <v>1357</v>
      </c>
      <c r="AJ87" s="89">
        <v>11138</v>
      </c>
      <c r="AK87" s="30">
        <v>38749</v>
      </c>
      <c r="AL87" s="10"/>
      <c r="AM87" s="10"/>
      <c r="AN87" s="10"/>
      <c r="AO87" s="10"/>
      <c r="AP87" s="10">
        <v>42491.210999999996</v>
      </c>
      <c r="AQ87" s="10">
        <v>192193.989</v>
      </c>
      <c r="AR87" s="10">
        <v>480791</v>
      </c>
      <c r="AS87" s="10">
        <v>1670160</v>
      </c>
      <c r="AT87" s="10">
        <v>162451</v>
      </c>
      <c r="AU87" s="10">
        <v>449495</v>
      </c>
      <c r="AV87" s="10">
        <v>15189</v>
      </c>
      <c r="AW87" s="10">
        <v>36994</v>
      </c>
      <c r="AX87" s="10">
        <v>7798</v>
      </c>
      <c r="AY87" s="10">
        <v>20552</v>
      </c>
      <c r="AZ87" s="10"/>
      <c r="BA87" s="10"/>
      <c r="BB87" s="10">
        <v>212</v>
      </c>
      <c r="BC87" s="10">
        <v>1529</v>
      </c>
      <c r="BD87" s="10">
        <v>10072</v>
      </c>
      <c r="BE87" s="10">
        <v>38327</v>
      </c>
      <c r="BF87" s="10">
        <v>13685</v>
      </c>
      <c r="BG87" s="10">
        <v>18913</v>
      </c>
      <c r="BH87" s="10">
        <v>1558</v>
      </c>
      <c r="BI87" s="10">
        <v>6118</v>
      </c>
      <c r="BJ87" s="10"/>
      <c r="BK87" s="10"/>
      <c r="BL87" s="10">
        <v>40164</v>
      </c>
      <c r="BM87" s="10">
        <v>119884</v>
      </c>
      <c r="BN87" s="10">
        <v>48293</v>
      </c>
      <c r="BO87" s="10">
        <v>263897</v>
      </c>
      <c r="BP87" s="10">
        <v>779</v>
      </c>
      <c r="BQ87" s="10">
        <v>3077</v>
      </c>
      <c r="BR87" s="85">
        <f t="shared" si="26"/>
        <v>1054147.2110000001</v>
      </c>
      <c r="BS87" s="85">
        <f t="shared" si="27"/>
        <v>3569648.9890000001</v>
      </c>
    </row>
    <row r="88" spans="1:71" x14ac:dyDescent="0.25">
      <c r="A88" s="30" t="s">
        <v>290</v>
      </c>
      <c r="B88" s="10">
        <v>50055</v>
      </c>
      <c r="C88" s="10">
        <v>136804</v>
      </c>
      <c r="D88" s="10">
        <v>146498</v>
      </c>
      <c r="E88" s="10">
        <v>337931</v>
      </c>
      <c r="F88" s="10">
        <v>433269</v>
      </c>
      <c r="G88" s="10">
        <v>2464387</v>
      </c>
      <c r="H88" s="10">
        <v>416889</v>
      </c>
      <c r="I88" s="10">
        <v>1291060</v>
      </c>
      <c r="J88" s="10">
        <v>1290742</v>
      </c>
      <c r="K88" s="10">
        <v>5914819</v>
      </c>
      <c r="L88" s="10">
        <v>353772</v>
      </c>
      <c r="M88" s="10">
        <v>984390</v>
      </c>
      <c r="N88" s="10">
        <v>666715</v>
      </c>
      <c r="O88" s="10">
        <v>2025410</v>
      </c>
      <c r="P88" s="10">
        <v>-41707</v>
      </c>
      <c r="Q88" s="10">
        <v>-113761</v>
      </c>
      <c r="R88" s="10">
        <v>4830</v>
      </c>
      <c r="S88" s="10">
        <v>57595</v>
      </c>
      <c r="T88" s="10">
        <v>107316.8</v>
      </c>
      <c r="U88" s="10">
        <v>314739.77</v>
      </c>
      <c r="V88" s="10">
        <f>522+284122</f>
        <v>284644</v>
      </c>
      <c r="W88" s="10">
        <f>1692+618715</f>
        <v>620407</v>
      </c>
      <c r="X88" s="10">
        <v>350966</v>
      </c>
      <c r="Y88" s="10">
        <v>1057013</v>
      </c>
      <c r="Z88" s="10">
        <v>-2133206</v>
      </c>
      <c r="AA88" s="10">
        <v>-7093090</v>
      </c>
      <c r="AB88" s="10">
        <v>2840132</v>
      </c>
      <c r="AC88" s="10">
        <v>7520277</v>
      </c>
      <c r="AD88" s="10">
        <v>864338</v>
      </c>
      <c r="AE88" s="10">
        <v>2748587</v>
      </c>
      <c r="AF88" s="10">
        <v>30614</v>
      </c>
      <c r="AG88" s="10">
        <v>82976</v>
      </c>
      <c r="AH88" s="10">
        <v>45063</v>
      </c>
      <c r="AI88" s="10">
        <v>159094</v>
      </c>
      <c r="AJ88" s="89">
        <v>-409375</v>
      </c>
      <c r="AK88" s="30">
        <v>-1057311</v>
      </c>
      <c r="AL88" s="10">
        <v>10010</v>
      </c>
      <c r="AM88" s="10">
        <v>30518</v>
      </c>
      <c r="AN88" s="10">
        <v>233893</v>
      </c>
      <c r="AO88" s="10">
        <v>900864</v>
      </c>
      <c r="AP88" s="10">
        <v>1000389.1040000001</v>
      </c>
      <c r="AQ88" s="10">
        <v>2272219.4610000001</v>
      </c>
      <c r="AR88" s="10">
        <v>288476</v>
      </c>
      <c r="AS88" s="10">
        <v>3071411</v>
      </c>
      <c r="AT88" s="10">
        <v>449720</v>
      </c>
      <c r="AU88" s="10">
        <v>1535634</v>
      </c>
      <c r="AV88" s="10">
        <v>7552</v>
      </c>
      <c r="AW88" s="10">
        <v>27372</v>
      </c>
      <c r="AX88" s="10">
        <v>1453998</v>
      </c>
      <c r="AY88" s="10">
        <v>4704782</v>
      </c>
      <c r="AZ88" s="10"/>
      <c r="BA88" s="10"/>
      <c r="BB88" s="10">
        <v>660108</v>
      </c>
      <c r="BC88" s="10">
        <v>1948521</v>
      </c>
      <c r="BD88" s="10">
        <v>-422307</v>
      </c>
      <c r="BE88" s="10">
        <v>-1399159</v>
      </c>
      <c r="BF88" s="10">
        <v>914936</v>
      </c>
      <c r="BG88" s="10">
        <v>4126575</v>
      </c>
      <c r="BH88" s="10">
        <v>39198</v>
      </c>
      <c r="BI88" s="10">
        <v>101457</v>
      </c>
      <c r="BJ88" s="10">
        <v>1042144</v>
      </c>
      <c r="BK88" s="10">
        <v>2785484</v>
      </c>
      <c r="BL88" s="10">
        <v>1519641</v>
      </c>
      <c r="BM88" s="10">
        <v>5666755</v>
      </c>
      <c r="BN88" s="10">
        <v>645128</v>
      </c>
      <c r="BO88" s="10">
        <v>1819738</v>
      </c>
      <c r="BP88" s="10">
        <v>225735</v>
      </c>
      <c r="BQ88" s="10">
        <v>535428</v>
      </c>
      <c r="BR88" s="85">
        <f t="shared" si="26"/>
        <v>13370176.903999999</v>
      </c>
      <c r="BS88" s="85">
        <f t="shared" si="27"/>
        <v>45578927.230999999</v>
      </c>
    </row>
    <row r="89" spans="1:71" x14ac:dyDescent="0.25">
      <c r="A89" s="30" t="s">
        <v>239</v>
      </c>
      <c r="B89" s="10">
        <v>-35045</v>
      </c>
      <c r="C89" s="10">
        <v>-104956</v>
      </c>
      <c r="D89" s="10">
        <v>149559</v>
      </c>
      <c r="E89" s="10">
        <v>326010</v>
      </c>
      <c r="F89" s="10">
        <v>-353011</v>
      </c>
      <c r="G89" s="10">
        <v>-2243095</v>
      </c>
      <c r="H89" s="10">
        <v>330734</v>
      </c>
      <c r="I89" s="10">
        <v>691324</v>
      </c>
      <c r="J89" s="10">
        <v>886304</v>
      </c>
      <c r="K89" s="10">
        <v>458472</v>
      </c>
      <c r="L89" s="10">
        <v>335742</v>
      </c>
      <c r="M89" s="10">
        <v>798686</v>
      </c>
      <c r="N89" s="10">
        <v>276952</v>
      </c>
      <c r="O89" s="10">
        <v>881390</v>
      </c>
      <c r="P89" s="10">
        <v>-15866</v>
      </c>
      <c r="Q89" s="10">
        <v>-17440</v>
      </c>
      <c r="R89" s="10">
        <v>34291</v>
      </c>
      <c r="S89" s="10">
        <v>16843</v>
      </c>
      <c r="T89" s="10">
        <v>-87526.56</v>
      </c>
      <c r="U89" s="10">
        <v>-271366.92</v>
      </c>
      <c r="V89" s="10">
        <f>8641+162941</f>
        <v>171582</v>
      </c>
      <c r="W89" s="10">
        <f>27033+609183</f>
        <v>636216</v>
      </c>
      <c r="X89" s="10">
        <v>-77266</v>
      </c>
      <c r="Y89" s="10">
        <v>-366895</v>
      </c>
      <c r="Z89" s="10">
        <v>-276325</v>
      </c>
      <c r="AA89" s="10">
        <v>-1670120</v>
      </c>
      <c r="AB89" s="10">
        <v>770497</v>
      </c>
      <c r="AC89" s="10">
        <v>1936066</v>
      </c>
      <c r="AD89" s="10">
        <v>432338</v>
      </c>
      <c r="AE89" s="10">
        <v>1306384</v>
      </c>
      <c r="AF89" s="10">
        <v>83992</v>
      </c>
      <c r="AG89" s="10">
        <v>209033</v>
      </c>
      <c r="AH89" s="10">
        <v>379945</v>
      </c>
      <c r="AI89" s="10">
        <v>1086085</v>
      </c>
      <c r="AJ89" s="89">
        <v>-216145</v>
      </c>
      <c r="AK89" s="30">
        <v>-508163</v>
      </c>
      <c r="AL89" s="10">
        <v>157543</v>
      </c>
      <c r="AM89" s="10">
        <v>439554</v>
      </c>
      <c r="AN89" s="10">
        <v>145422</v>
      </c>
      <c r="AO89" s="10">
        <v>125123</v>
      </c>
      <c r="AP89" s="10">
        <v>1620460.2703996624</v>
      </c>
      <c r="AQ89" s="10">
        <v>5198376.380399663</v>
      </c>
      <c r="AR89" s="10">
        <v>6093942</v>
      </c>
      <c r="AS89" s="10">
        <v>16608114</v>
      </c>
      <c r="AT89" s="10">
        <v>2341893</v>
      </c>
      <c r="AU89" s="10">
        <v>5548001</v>
      </c>
      <c r="AV89" s="10">
        <v>28527</v>
      </c>
      <c r="AW89" s="10">
        <v>75309</v>
      </c>
      <c r="AX89" s="10">
        <v>-540848</v>
      </c>
      <c r="AY89" s="10">
        <v>-1569311</v>
      </c>
      <c r="AZ89" s="10"/>
      <c r="BA89" s="10"/>
      <c r="BB89" s="10">
        <v>-48586</v>
      </c>
      <c r="BC89" s="10">
        <v>-231928</v>
      </c>
      <c r="BD89" s="10">
        <v>390307</v>
      </c>
      <c r="BE89" s="10">
        <v>993007</v>
      </c>
      <c r="BF89" s="10">
        <v>387389</v>
      </c>
      <c r="BG89" s="10">
        <v>-655066</v>
      </c>
      <c r="BH89" s="10">
        <v>412460</v>
      </c>
      <c r="BI89" s="10">
        <v>919599</v>
      </c>
      <c r="BJ89" s="10">
        <v>1305103</v>
      </c>
      <c r="BK89" s="10">
        <v>3141356</v>
      </c>
      <c r="BL89" s="10">
        <v>195359</v>
      </c>
      <c r="BM89" s="10">
        <v>-495466</v>
      </c>
      <c r="BN89" s="10">
        <v>1418171</v>
      </c>
      <c r="BO89" s="10">
        <v>4688025</v>
      </c>
      <c r="BP89" s="10">
        <v>103912</v>
      </c>
      <c r="BQ89" s="10">
        <v>372283</v>
      </c>
      <c r="BR89" s="85">
        <f t="shared" si="26"/>
        <v>16801805.710399661</v>
      </c>
      <c r="BS89" s="85">
        <f t="shared" si="27"/>
        <v>38321449.460399665</v>
      </c>
    </row>
  </sheetData>
  <mergeCells count="385">
    <mergeCell ref="BD68:BE68"/>
    <mergeCell ref="BF68:BG68"/>
    <mergeCell ref="BH68:BI68"/>
    <mergeCell ref="BJ68:BK68"/>
    <mergeCell ref="BL68:BM68"/>
    <mergeCell ref="BN68:BO68"/>
    <mergeCell ref="BP68:BQ68"/>
    <mergeCell ref="BR68:BS68"/>
    <mergeCell ref="AL68:AM68"/>
    <mergeCell ref="AN68:AO68"/>
    <mergeCell ref="AP68:AQ68"/>
    <mergeCell ref="AR68:AS68"/>
    <mergeCell ref="AT68:AU68"/>
    <mergeCell ref="AV68:AW68"/>
    <mergeCell ref="AX68:AY68"/>
    <mergeCell ref="AZ68:BA68"/>
    <mergeCell ref="BB68:BC68"/>
    <mergeCell ref="T68:U68"/>
    <mergeCell ref="V68:W68"/>
    <mergeCell ref="X68:Y68"/>
    <mergeCell ref="Z68:AA68"/>
    <mergeCell ref="AB68:AC68"/>
    <mergeCell ref="AD68:AE68"/>
    <mergeCell ref="AF68:AG68"/>
    <mergeCell ref="AH68:AI68"/>
    <mergeCell ref="AJ68:AK68"/>
    <mergeCell ref="B68:C68"/>
    <mergeCell ref="D68:E68"/>
    <mergeCell ref="F68:G68"/>
    <mergeCell ref="H68:I68"/>
    <mergeCell ref="J68:K68"/>
    <mergeCell ref="L68:M68"/>
    <mergeCell ref="N68:O68"/>
    <mergeCell ref="P68:Q68"/>
    <mergeCell ref="R68:S68"/>
    <mergeCell ref="BR84:BS84"/>
    <mergeCell ref="AV84:AW84"/>
    <mergeCell ref="AX84:AY84"/>
    <mergeCell ref="AZ84:BA84"/>
    <mergeCell ref="BB84:BC84"/>
    <mergeCell ref="BD84:BE84"/>
    <mergeCell ref="BF84:BG84"/>
    <mergeCell ref="AB84:AC84"/>
    <mergeCell ref="AD84:AE84"/>
    <mergeCell ref="AF84:AG84"/>
    <mergeCell ref="AH84:AI84"/>
    <mergeCell ref="BH84:BI84"/>
    <mergeCell ref="BJ84:BK84"/>
    <mergeCell ref="BL84:BM84"/>
    <mergeCell ref="BN84:BO84"/>
    <mergeCell ref="BP84:BQ84"/>
    <mergeCell ref="L84:M84"/>
    <mergeCell ref="N84:O84"/>
    <mergeCell ref="P84:Q84"/>
    <mergeCell ref="R84:S84"/>
    <mergeCell ref="T84:U84"/>
    <mergeCell ref="V84:W84"/>
    <mergeCell ref="BJ76:BK76"/>
    <mergeCell ref="BL76:BM76"/>
    <mergeCell ref="BN76:BO76"/>
    <mergeCell ref="AJ76:AK76"/>
    <mergeCell ref="N76:O76"/>
    <mergeCell ref="P76:Q76"/>
    <mergeCell ref="R76:S76"/>
    <mergeCell ref="T76:U76"/>
    <mergeCell ref="V76:W76"/>
    <mergeCell ref="X76:Y76"/>
    <mergeCell ref="AJ84:AK84"/>
    <mergeCell ref="AL84:AM84"/>
    <mergeCell ref="AN84:AO84"/>
    <mergeCell ref="AP84:AQ84"/>
    <mergeCell ref="AR84:AS84"/>
    <mergeCell ref="AT84:AU84"/>
    <mergeCell ref="X84:Y84"/>
    <mergeCell ref="Z84:AA84"/>
    <mergeCell ref="BP76:BQ76"/>
    <mergeCell ref="BR76:BS76"/>
    <mergeCell ref="B84:C84"/>
    <mergeCell ref="D84:E84"/>
    <mergeCell ref="F84:G84"/>
    <mergeCell ref="H84:I84"/>
    <mergeCell ref="J84:K84"/>
    <mergeCell ref="AX76:AY76"/>
    <mergeCell ref="AZ76:BA76"/>
    <mergeCell ref="BB76:BC76"/>
    <mergeCell ref="BD76:BE76"/>
    <mergeCell ref="BF76:BG76"/>
    <mergeCell ref="BH76:BI76"/>
    <mergeCell ref="AL76:AM76"/>
    <mergeCell ref="AN76:AO76"/>
    <mergeCell ref="AP76:AQ76"/>
    <mergeCell ref="AR76:AS76"/>
    <mergeCell ref="AT76:AU76"/>
    <mergeCell ref="AV76:AW76"/>
    <mergeCell ref="Z76:AA76"/>
    <mergeCell ref="AB76:AC76"/>
    <mergeCell ref="AD76:AE76"/>
    <mergeCell ref="AF76:AG76"/>
    <mergeCell ref="AH76:AI76"/>
    <mergeCell ref="B76:C76"/>
    <mergeCell ref="D76:E76"/>
    <mergeCell ref="F76:G76"/>
    <mergeCell ref="H76:I76"/>
    <mergeCell ref="J76:K76"/>
    <mergeCell ref="L76:M76"/>
    <mergeCell ref="BH60:BI60"/>
    <mergeCell ref="BJ60:BK60"/>
    <mergeCell ref="BL60:BM60"/>
    <mergeCell ref="AJ60:AK60"/>
    <mergeCell ref="AL60:AM60"/>
    <mergeCell ref="AN60:AO60"/>
    <mergeCell ref="AP60:AQ60"/>
    <mergeCell ref="AR60:AS60"/>
    <mergeCell ref="AT60:AU60"/>
    <mergeCell ref="X60:Y60"/>
    <mergeCell ref="Z60:AA60"/>
    <mergeCell ref="AB60:AC60"/>
    <mergeCell ref="AD60:AE60"/>
    <mergeCell ref="AF60:AG60"/>
    <mergeCell ref="AH60:AI60"/>
    <mergeCell ref="L60:M60"/>
    <mergeCell ref="N60:O60"/>
    <mergeCell ref="P60:Q60"/>
    <mergeCell ref="BN60:BO60"/>
    <mergeCell ref="BP60:BQ60"/>
    <mergeCell ref="BR60:BS60"/>
    <mergeCell ref="AV60:AW60"/>
    <mergeCell ref="AX60:AY60"/>
    <mergeCell ref="AZ60:BA60"/>
    <mergeCell ref="BB60:BC60"/>
    <mergeCell ref="BD60:BE60"/>
    <mergeCell ref="BF60:BG60"/>
    <mergeCell ref="R60:S60"/>
    <mergeCell ref="T60:U60"/>
    <mergeCell ref="V60:W60"/>
    <mergeCell ref="BJ52:BK52"/>
    <mergeCell ref="BL52:BM52"/>
    <mergeCell ref="BN52:BO52"/>
    <mergeCell ref="BP52:BQ52"/>
    <mergeCell ref="BR52:BS52"/>
    <mergeCell ref="B60:C60"/>
    <mergeCell ref="D60:E60"/>
    <mergeCell ref="F60:G60"/>
    <mergeCell ref="H60:I60"/>
    <mergeCell ref="J60:K60"/>
    <mergeCell ref="AX52:AY52"/>
    <mergeCell ref="AZ52:BA52"/>
    <mergeCell ref="BB52:BC52"/>
    <mergeCell ref="BD52:BE52"/>
    <mergeCell ref="BF52:BG52"/>
    <mergeCell ref="BH52:BI52"/>
    <mergeCell ref="AL52:AM52"/>
    <mergeCell ref="AN52:AO52"/>
    <mergeCell ref="AP52:AQ52"/>
    <mergeCell ref="AR52:AS52"/>
    <mergeCell ref="AT52:AU52"/>
    <mergeCell ref="AV52:AW52"/>
    <mergeCell ref="Z52:AA52"/>
    <mergeCell ref="AB52:AC52"/>
    <mergeCell ref="AD52:AE52"/>
    <mergeCell ref="AF52:AG52"/>
    <mergeCell ref="AH52:AI52"/>
    <mergeCell ref="AJ52:AK52"/>
    <mergeCell ref="N52:O52"/>
    <mergeCell ref="P52:Q52"/>
    <mergeCell ref="R52:S52"/>
    <mergeCell ref="T52:U52"/>
    <mergeCell ref="V52:W52"/>
    <mergeCell ref="X52:Y52"/>
    <mergeCell ref="B52:C52"/>
    <mergeCell ref="D52:E52"/>
    <mergeCell ref="F52:G52"/>
    <mergeCell ref="H52:I52"/>
    <mergeCell ref="J52:K52"/>
    <mergeCell ref="L52:M52"/>
    <mergeCell ref="BH44:BI44"/>
    <mergeCell ref="BJ44:BK44"/>
    <mergeCell ref="BL44:BM44"/>
    <mergeCell ref="AJ44:AK44"/>
    <mergeCell ref="AL44:AM44"/>
    <mergeCell ref="AN44:AO44"/>
    <mergeCell ref="AP44:AQ44"/>
    <mergeCell ref="AR44:AS44"/>
    <mergeCell ref="AT44:AU44"/>
    <mergeCell ref="X44:Y44"/>
    <mergeCell ref="Z44:AA44"/>
    <mergeCell ref="AB44:AC44"/>
    <mergeCell ref="AD44:AE44"/>
    <mergeCell ref="AF44:AG44"/>
    <mergeCell ref="AH44:AI44"/>
    <mergeCell ref="L44:M44"/>
    <mergeCell ref="N44:O44"/>
    <mergeCell ref="P44:Q44"/>
    <mergeCell ref="BN44:BO44"/>
    <mergeCell ref="BP44:BQ44"/>
    <mergeCell ref="BR44:BS44"/>
    <mergeCell ref="AV44:AW44"/>
    <mergeCell ref="AX44:AY44"/>
    <mergeCell ref="AZ44:BA44"/>
    <mergeCell ref="BB44:BC44"/>
    <mergeCell ref="BD44:BE44"/>
    <mergeCell ref="BF44:BG44"/>
    <mergeCell ref="R44:S44"/>
    <mergeCell ref="T44:U44"/>
    <mergeCell ref="V44:W44"/>
    <mergeCell ref="BJ36:BK36"/>
    <mergeCell ref="BL36:BM36"/>
    <mergeCell ref="BN36:BO36"/>
    <mergeCell ref="BP36:BQ36"/>
    <mergeCell ref="BR36:BS36"/>
    <mergeCell ref="B44:C44"/>
    <mergeCell ref="D44:E44"/>
    <mergeCell ref="F44:G44"/>
    <mergeCell ref="H44:I44"/>
    <mergeCell ref="J44:K44"/>
    <mergeCell ref="AX36:AY36"/>
    <mergeCell ref="AZ36:BA36"/>
    <mergeCell ref="BB36:BC36"/>
    <mergeCell ref="BD36:BE36"/>
    <mergeCell ref="BF36:BG36"/>
    <mergeCell ref="BH36:BI36"/>
    <mergeCell ref="AL36:AM36"/>
    <mergeCell ref="AN36:AO36"/>
    <mergeCell ref="AP36:AQ36"/>
    <mergeCell ref="AR36:AS36"/>
    <mergeCell ref="AT36:AU36"/>
    <mergeCell ref="AV36:AW36"/>
    <mergeCell ref="Z36:AA36"/>
    <mergeCell ref="AB36:AC36"/>
    <mergeCell ref="AD36:AE36"/>
    <mergeCell ref="AF36:AG36"/>
    <mergeCell ref="AH36:AI36"/>
    <mergeCell ref="AJ36:AK36"/>
    <mergeCell ref="N36:O36"/>
    <mergeCell ref="P36:Q36"/>
    <mergeCell ref="R36:S36"/>
    <mergeCell ref="T36:U36"/>
    <mergeCell ref="V36:W36"/>
    <mergeCell ref="X36:Y36"/>
    <mergeCell ref="B36:C36"/>
    <mergeCell ref="D36:E36"/>
    <mergeCell ref="F36:G36"/>
    <mergeCell ref="H36:I36"/>
    <mergeCell ref="J36:K36"/>
    <mergeCell ref="L36:M36"/>
    <mergeCell ref="BH28:BI28"/>
    <mergeCell ref="BJ28:BK28"/>
    <mergeCell ref="BL28:BM28"/>
    <mergeCell ref="AJ28:AK28"/>
    <mergeCell ref="AL28:AM28"/>
    <mergeCell ref="AN28:AO28"/>
    <mergeCell ref="AP28:AQ28"/>
    <mergeCell ref="AR28:AS28"/>
    <mergeCell ref="AT28:AU28"/>
    <mergeCell ref="X28:Y28"/>
    <mergeCell ref="Z28:AA28"/>
    <mergeCell ref="AB28:AC28"/>
    <mergeCell ref="AD28:AE28"/>
    <mergeCell ref="AF28:AG28"/>
    <mergeCell ref="AH28:AI28"/>
    <mergeCell ref="L28:M28"/>
    <mergeCell ref="N28:O28"/>
    <mergeCell ref="P28:Q28"/>
    <mergeCell ref="BN28:BO28"/>
    <mergeCell ref="BP28:BQ28"/>
    <mergeCell ref="BR28:BS28"/>
    <mergeCell ref="AV28:AW28"/>
    <mergeCell ref="AX28:AY28"/>
    <mergeCell ref="AZ28:BA28"/>
    <mergeCell ref="BB28:BC28"/>
    <mergeCell ref="BD28:BE28"/>
    <mergeCell ref="BF28:BG28"/>
    <mergeCell ref="R28:S28"/>
    <mergeCell ref="T28:U28"/>
    <mergeCell ref="V28:W28"/>
    <mergeCell ref="BJ20:BK20"/>
    <mergeCell ref="BL20:BM20"/>
    <mergeCell ref="BN20:BO20"/>
    <mergeCell ref="BP20:BQ20"/>
    <mergeCell ref="BR20:BS20"/>
    <mergeCell ref="B28:C28"/>
    <mergeCell ref="D28:E28"/>
    <mergeCell ref="F28:G28"/>
    <mergeCell ref="H28:I28"/>
    <mergeCell ref="J28:K28"/>
    <mergeCell ref="AX20:AY20"/>
    <mergeCell ref="AZ20:BA20"/>
    <mergeCell ref="BB20:BC20"/>
    <mergeCell ref="BD20:BE20"/>
    <mergeCell ref="BF20:BG20"/>
    <mergeCell ref="BH20:BI20"/>
    <mergeCell ref="AL20:AM20"/>
    <mergeCell ref="AN20:AO20"/>
    <mergeCell ref="AP20:AQ20"/>
    <mergeCell ref="AR20:AS20"/>
    <mergeCell ref="AT20:AU20"/>
    <mergeCell ref="AV20:AW20"/>
    <mergeCell ref="Z20:AA20"/>
    <mergeCell ref="AB20:AC20"/>
    <mergeCell ref="AD20:AE20"/>
    <mergeCell ref="AF20:AG20"/>
    <mergeCell ref="AH20:AI20"/>
    <mergeCell ref="AJ20:AK20"/>
    <mergeCell ref="N20:O20"/>
    <mergeCell ref="P20:Q20"/>
    <mergeCell ref="R20:S20"/>
    <mergeCell ref="T20:U20"/>
    <mergeCell ref="V20:W20"/>
    <mergeCell ref="X20:Y20"/>
    <mergeCell ref="B20:C20"/>
    <mergeCell ref="D20:E20"/>
    <mergeCell ref="F20:G20"/>
    <mergeCell ref="H20:I20"/>
    <mergeCell ref="J20:K20"/>
    <mergeCell ref="L20:M20"/>
    <mergeCell ref="BH12:BI12"/>
    <mergeCell ref="BJ12:BK12"/>
    <mergeCell ref="BL12:BM12"/>
    <mergeCell ref="AJ12:AK12"/>
    <mergeCell ref="AL12:AM12"/>
    <mergeCell ref="AN12:AO12"/>
    <mergeCell ref="AP12:AQ12"/>
    <mergeCell ref="AR12:AS12"/>
    <mergeCell ref="AT12:AU12"/>
    <mergeCell ref="X12:Y12"/>
    <mergeCell ref="Z12:AA12"/>
    <mergeCell ref="AB12:AC12"/>
    <mergeCell ref="AD12:AE12"/>
    <mergeCell ref="AF12:AG12"/>
    <mergeCell ref="AH12:AI12"/>
    <mergeCell ref="L12:M12"/>
    <mergeCell ref="N12:O12"/>
    <mergeCell ref="P12:Q12"/>
    <mergeCell ref="BN12:BO12"/>
    <mergeCell ref="BP12:BQ12"/>
    <mergeCell ref="BR12:BS12"/>
    <mergeCell ref="AV12:AW12"/>
    <mergeCell ref="AX12:AY12"/>
    <mergeCell ref="AZ12:BA12"/>
    <mergeCell ref="BB12:BC12"/>
    <mergeCell ref="BD12:BE12"/>
    <mergeCell ref="BF12:BG12"/>
    <mergeCell ref="R12:S12"/>
    <mergeCell ref="T12:U12"/>
    <mergeCell ref="V12:W12"/>
    <mergeCell ref="BJ4:BK4"/>
    <mergeCell ref="BL4:BM4"/>
    <mergeCell ref="BN4:BO4"/>
    <mergeCell ref="BP4:BQ4"/>
    <mergeCell ref="BR4:BS4"/>
    <mergeCell ref="B12:C12"/>
    <mergeCell ref="D12:E12"/>
    <mergeCell ref="F12:G12"/>
    <mergeCell ref="H12:I12"/>
    <mergeCell ref="J12:K12"/>
    <mergeCell ref="AX4:AY4"/>
    <mergeCell ref="AZ4:BA4"/>
    <mergeCell ref="BB4:BC4"/>
    <mergeCell ref="BD4:BE4"/>
    <mergeCell ref="BF4:BG4"/>
    <mergeCell ref="BH4:BI4"/>
    <mergeCell ref="AL4:AM4"/>
    <mergeCell ref="AN4:AO4"/>
    <mergeCell ref="AP4:AQ4"/>
    <mergeCell ref="AR4:AS4"/>
    <mergeCell ref="AT4:AU4"/>
    <mergeCell ref="B4:C4"/>
    <mergeCell ref="D4:E4"/>
    <mergeCell ref="F4:G4"/>
    <mergeCell ref="H4:I4"/>
    <mergeCell ref="J4:K4"/>
    <mergeCell ref="L4:M4"/>
    <mergeCell ref="AV4:AW4"/>
    <mergeCell ref="Z4:AA4"/>
    <mergeCell ref="AB4:AC4"/>
    <mergeCell ref="AD4:AE4"/>
    <mergeCell ref="AF4:AG4"/>
    <mergeCell ref="AH4:AI4"/>
    <mergeCell ref="AJ4:AK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8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5.7109375" style="7" customWidth="1"/>
    <col min="2" max="35" width="16" style="7" customWidth="1"/>
    <col min="36" max="36" width="16" style="8" customWidth="1"/>
    <col min="37" max="71" width="16" style="7" customWidth="1"/>
    <col min="72" max="16384" width="9.140625" style="7"/>
  </cols>
  <sheetData>
    <row r="1" spans="1:71" ht="18.75" x14ac:dyDescent="0.3">
      <c r="A1" s="5" t="s">
        <v>215</v>
      </c>
    </row>
    <row r="2" spans="1:71" x14ac:dyDescent="0.25">
      <c r="A2" s="6" t="s">
        <v>47</v>
      </c>
    </row>
    <row r="3" spans="1:71" x14ac:dyDescent="0.25">
      <c r="A3" s="1" t="s">
        <v>0</v>
      </c>
      <c r="B3" s="107" t="s">
        <v>1</v>
      </c>
      <c r="C3" s="108"/>
      <c r="D3" s="107" t="s">
        <v>2</v>
      </c>
      <c r="E3" s="108"/>
      <c r="F3" s="107" t="s">
        <v>3</v>
      </c>
      <c r="G3" s="108"/>
      <c r="H3" s="107" t="s">
        <v>307</v>
      </c>
      <c r="I3" s="108"/>
      <c r="J3" s="107" t="s">
        <v>5</v>
      </c>
      <c r="K3" s="108"/>
      <c r="L3" s="107" t="s">
        <v>6</v>
      </c>
      <c r="M3" s="108"/>
      <c r="N3" s="107" t="s">
        <v>7</v>
      </c>
      <c r="O3" s="108"/>
      <c r="P3" s="107" t="s">
        <v>8</v>
      </c>
      <c r="Q3" s="108"/>
      <c r="R3" s="107" t="s">
        <v>9</v>
      </c>
      <c r="S3" s="108"/>
      <c r="T3" s="107" t="s">
        <v>10</v>
      </c>
      <c r="U3" s="108"/>
      <c r="V3" s="107" t="s">
        <v>11</v>
      </c>
      <c r="W3" s="108"/>
      <c r="X3" s="107" t="s">
        <v>12</v>
      </c>
      <c r="Y3" s="108"/>
      <c r="Z3" s="107" t="s">
        <v>13</v>
      </c>
      <c r="AA3" s="108"/>
      <c r="AB3" s="107" t="s">
        <v>14</v>
      </c>
      <c r="AC3" s="108"/>
      <c r="AD3" s="107" t="s">
        <v>15</v>
      </c>
      <c r="AE3" s="108"/>
      <c r="AF3" s="107" t="s">
        <v>16</v>
      </c>
      <c r="AG3" s="108"/>
      <c r="AH3" s="107" t="s">
        <v>17</v>
      </c>
      <c r="AI3" s="108"/>
      <c r="AJ3" s="107" t="s">
        <v>18</v>
      </c>
      <c r="AK3" s="108"/>
      <c r="AL3" s="107" t="s">
        <v>296</v>
      </c>
      <c r="AM3" s="108"/>
      <c r="AN3" s="107" t="s">
        <v>19</v>
      </c>
      <c r="AO3" s="108"/>
      <c r="AP3" s="107" t="s">
        <v>20</v>
      </c>
      <c r="AQ3" s="108"/>
      <c r="AR3" s="107" t="s">
        <v>21</v>
      </c>
      <c r="AS3" s="108"/>
      <c r="AT3" s="107" t="s">
        <v>22</v>
      </c>
      <c r="AU3" s="108"/>
      <c r="AV3" s="107" t="s">
        <v>23</v>
      </c>
      <c r="AW3" s="108"/>
      <c r="AX3" s="107" t="s">
        <v>24</v>
      </c>
      <c r="AY3" s="108"/>
      <c r="AZ3" s="107" t="s">
        <v>25</v>
      </c>
      <c r="BA3" s="108"/>
      <c r="BB3" s="107" t="s">
        <v>26</v>
      </c>
      <c r="BC3" s="108"/>
      <c r="BD3" s="107" t="s">
        <v>27</v>
      </c>
      <c r="BE3" s="108"/>
      <c r="BF3" s="107" t="s">
        <v>28</v>
      </c>
      <c r="BG3" s="108"/>
      <c r="BH3" s="107" t="s">
        <v>29</v>
      </c>
      <c r="BI3" s="108"/>
      <c r="BJ3" s="107" t="s">
        <v>30</v>
      </c>
      <c r="BK3" s="108"/>
      <c r="BL3" s="107" t="s">
        <v>31</v>
      </c>
      <c r="BM3" s="108"/>
      <c r="BN3" s="111" t="s">
        <v>32</v>
      </c>
      <c r="BO3" s="112"/>
      <c r="BP3" s="107" t="s">
        <v>33</v>
      </c>
      <c r="BQ3" s="108"/>
      <c r="BR3" s="109" t="s">
        <v>34</v>
      </c>
      <c r="BS3" s="110"/>
    </row>
    <row r="4" spans="1:71" ht="30" x14ac:dyDescent="0.25">
      <c r="A4" s="1"/>
      <c r="B4" s="66" t="s">
        <v>294</v>
      </c>
      <c r="C4" s="67" t="s">
        <v>295</v>
      </c>
      <c r="D4" s="66" t="s">
        <v>294</v>
      </c>
      <c r="E4" s="67" t="s">
        <v>295</v>
      </c>
      <c r="F4" s="66" t="s">
        <v>294</v>
      </c>
      <c r="G4" s="67" t="s">
        <v>295</v>
      </c>
      <c r="H4" s="66" t="s">
        <v>294</v>
      </c>
      <c r="I4" s="67" t="s">
        <v>295</v>
      </c>
      <c r="J4" s="66" t="s">
        <v>294</v>
      </c>
      <c r="K4" s="67" t="s">
        <v>295</v>
      </c>
      <c r="L4" s="66" t="s">
        <v>294</v>
      </c>
      <c r="M4" s="67" t="s">
        <v>295</v>
      </c>
      <c r="N4" s="66" t="s">
        <v>294</v>
      </c>
      <c r="O4" s="67" t="s">
        <v>295</v>
      </c>
      <c r="P4" s="66" t="s">
        <v>294</v>
      </c>
      <c r="Q4" s="67" t="s">
        <v>295</v>
      </c>
      <c r="R4" s="66" t="s">
        <v>294</v>
      </c>
      <c r="S4" s="67" t="s">
        <v>295</v>
      </c>
      <c r="T4" s="66" t="s">
        <v>294</v>
      </c>
      <c r="U4" s="67" t="s">
        <v>295</v>
      </c>
      <c r="V4" s="66" t="s">
        <v>294</v>
      </c>
      <c r="W4" s="67" t="s">
        <v>295</v>
      </c>
      <c r="X4" s="66" t="s">
        <v>294</v>
      </c>
      <c r="Y4" s="67" t="s">
        <v>295</v>
      </c>
      <c r="Z4" s="66" t="s">
        <v>294</v>
      </c>
      <c r="AA4" s="67" t="s">
        <v>295</v>
      </c>
      <c r="AB4" s="66" t="s">
        <v>294</v>
      </c>
      <c r="AC4" s="67" t="s">
        <v>295</v>
      </c>
      <c r="AD4" s="66" t="s">
        <v>294</v>
      </c>
      <c r="AE4" s="67" t="s">
        <v>295</v>
      </c>
      <c r="AF4" s="66" t="s">
        <v>294</v>
      </c>
      <c r="AG4" s="67" t="s">
        <v>295</v>
      </c>
      <c r="AH4" s="66" t="s">
        <v>294</v>
      </c>
      <c r="AI4" s="67" t="s">
        <v>295</v>
      </c>
      <c r="AJ4" s="66" t="s">
        <v>294</v>
      </c>
      <c r="AK4" s="67" t="s">
        <v>295</v>
      </c>
      <c r="AL4" s="66" t="s">
        <v>294</v>
      </c>
      <c r="AM4" s="67" t="s">
        <v>295</v>
      </c>
      <c r="AN4" s="66" t="s">
        <v>294</v>
      </c>
      <c r="AO4" s="67" t="s">
        <v>295</v>
      </c>
      <c r="AP4" s="66" t="s">
        <v>294</v>
      </c>
      <c r="AQ4" s="67" t="s">
        <v>295</v>
      </c>
      <c r="AR4" s="66" t="s">
        <v>294</v>
      </c>
      <c r="AS4" s="67" t="s">
        <v>295</v>
      </c>
      <c r="AT4" s="66" t="s">
        <v>294</v>
      </c>
      <c r="AU4" s="67" t="s">
        <v>295</v>
      </c>
      <c r="AV4" s="66" t="s">
        <v>294</v>
      </c>
      <c r="AW4" s="67" t="s">
        <v>295</v>
      </c>
      <c r="AX4" s="66" t="s">
        <v>294</v>
      </c>
      <c r="AY4" s="67" t="s">
        <v>295</v>
      </c>
      <c r="AZ4" s="66" t="s">
        <v>294</v>
      </c>
      <c r="BA4" s="67" t="s">
        <v>295</v>
      </c>
      <c r="BB4" s="66" t="s">
        <v>294</v>
      </c>
      <c r="BC4" s="67" t="s">
        <v>295</v>
      </c>
      <c r="BD4" s="66" t="s">
        <v>294</v>
      </c>
      <c r="BE4" s="67" t="s">
        <v>295</v>
      </c>
      <c r="BF4" s="66" t="s">
        <v>294</v>
      </c>
      <c r="BG4" s="67" t="s">
        <v>295</v>
      </c>
      <c r="BH4" s="66" t="s">
        <v>294</v>
      </c>
      <c r="BI4" s="67" t="s">
        <v>295</v>
      </c>
      <c r="BJ4" s="66" t="s">
        <v>294</v>
      </c>
      <c r="BK4" s="67" t="s">
        <v>295</v>
      </c>
      <c r="BL4" s="66" t="s">
        <v>294</v>
      </c>
      <c r="BM4" s="67" t="s">
        <v>295</v>
      </c>
      <c r="BN4" s="66" t="s">
        <v>294</v>
      </c>
      <c r="BO4" s="67" t="s">
        <v>295</v>
      </c>
      <c r="BP4" s="66" t="s">
        <v>294</v>
      </c>
      <c r="BQ4" s="67" t="s">
        <v>295</v>
      </c>
      <c r="BR4" s="66" t="s">
        <v>294</v>
      </c>
      <c r="BS4" s="67" t="s">
        <v>295</v>
      </c>
    </row>
    <row r="5" spans="1:71" x14ac:dyDescent="0.25">
      <c r="A5" s="26" t="s">
        <v>216</v>
      </c>
      <c r="B5" s="10">
        <v>119266</v>
      </c>
      <c r="C5" s="10">
        <v>342505</v>
      </c>
      <c r="D5" s="10">
        <v>623384</v>
      </c>
      <c r="E5" s="10">
        <v>1722849</v>
      </c>
      <c r="F5" s="10">
        <v>122848</v>
      </c>
      <c r="G5" s="10">
        <v>437948</v>
      </c>
      <c r="H5" s="10">
        <v>662504</v>
      </c>
      <c r="I5" s="10">
        <v>1963159</v>
      </c>
      <c r="J5" s="10">
        <v>2462865</v>
      </c>
      <c r="K5" s="10">
        <v>7422306</v>
      </c>
      <c r="L5" s="10">
        <v>516394</v>
      </c>
      <c r="M5" s="10">
        <v>1582475</v>
      </c>
      <c r="N5" s="10">
        <v>382750</v>
      </c>
      <c r="O5" s="10">
        <v>1069817</v>
      </c>
      <c r="P5" s="10">
        <v>105034</v>
      </c>
      <c r="Q5" s="10">
        <v>319180</v>
      </c>
      <c r="R5" s="10">
        <v>96619</v>
      </c>
      <c r="S5" s="10">
        <v>271660</v>
      </c>
      <c r="T5" s="10">
        <v>205157.5</v>
      </c>
      <c r="U5" s="10">
        <v>882536.62</v>
      </c>
      <c r="V5" s="10"/>
      <c r="W5" s="10"/>
      <c r="X5" s="10">
        <v>341040</v>
      </c>
      <c r="Y5" s="10">
        <v>975970</v>
      </c>
      <c r="Z5" s="10">
        <v>1001991</v>
      </c>
      <c r="AA5" s="10">
        <v>2778916</v>
      </c>
      <c r="AB5" s="10">
        <v>1684367</v>
      </c>
      <c r="AC5" s="10">
        <v>5074952</v>
      </c>
      <c r="AD5" s="10">
        <v>818951</v>
      </c>
      <c r="AE5" s="10">
        <v>2334657</v>
      </c>
      <c r="AF5" s="10">
        <v>136339</v>
      </c>
      <c r="AG5" s="10">
        <v>436679</v>
      </c>
      <c r="AH5" s="10">
        <v>312679</v>
      </c>
      <c r="AI5" s="10">
        <v>1002818</v>
      </c>
      <c r="AJ5" s="89">
        <v>28556</v>
      </c>
      <c r="AK5" s="10">
        <v>98867</v>
      </c>
      <c r="AL5" s="10">
        <v>348951</v>
      </c>
      <c r="AM5" s="10">
        <v>1030992</v>
      </c>
      <c r="AN5" s="10">
        <v>471997</v>
      </c>
      <c r="AO5" s="10">
        <v>1318337</v>
      </c>
      <c r="AP5" s="10">
        <v>9083761</v>
      </c>
      <c r="AQ5" s="10">
        <v>20160677</v>
      </c>
      <c r="AR5" s="10">
        <v>6899961</v>
      </c>
      <c r="AS5" s="10">
        <v>19909197</v>
      </c>
      <c r="AT5" s="10">
        <v>6692168</v>
      </c>
      <c r="AU5" s="10">
        <v>16625057</v>
      </c>
      <c r="AV5" s="10">
        <v>75294</v>
      </c>
      <c r="AW5" s="10">
        <v>197059</v>
      </c>
      <c r="AX5" s="10">
        <v>894437</v>
      </c>
      <c r="AY5" s="10">
        <v>2969341</v>
      </c>
      <c r="AZ5" s="10"/>
      <c r="BA5" s="10"/>
      <c r="BB5" s="10">
        <v>916626</v>
      </c>
      <c r="BC5" s="10">
        <v>2512650</v>
      </c>
      <c r="BD5" s="10">
        <v>452971</v>
      </c>
      <c r="BE5" s="10">
        <v>1382865</v>
      </c>
      <c r="BF5" s="10">
        <v>843613</v>
      </c>
      <c r="BG5" s="10">
        <v>2473505</v>
      </c>
      <c r="BH5" s="10">
        <v>259095</v>
      </c>
      <c r="BI5" s="10">
        <v>747872</v>
      </c>
      <c r="BJ5" s="10">
        <v>2016149</v>
      </c>
      <c r="BK5" s="10">
        <v>6004146</v>
      </c>
      <c r="BL5" s="10">
        <v>1118903</v>
      </c>
      <c r="BM5" s="10">
        <v>3348226</v>
      </c>
      <c r="BN5" s="10">
        <v>9598242</v>
      </c>
      <c r="BO5" s="10">
        <v>18058066</v>
      </c>
      <c r="BP5" s="10">
        <v>193848</v>
      </c>
      <c r="BQ5" s="10">
        <v>531750</v>
      </c>
      <c r="BR5" s="85">
        <f>SUM(B5+D5+F5+H5+J5+L5+N5+P5+R5+T5+V5+X5+Z5+AB5+AD5+AF5+AH5+AJ5+AL5+AN5+AP5+AR5+AT5+AV5+AX5+AZ5+BB5+BD5+BF5+BH5+BJ5+BL5+BN5+BP5)</f>
        <v>49486760.5</v>
      </c>
      <c r="BS5" s="85">
        <f>SUM(C5+E5+G5+I5+K5+M5+O5+Q5+S5+U5+W5+Y5+AA5+AC5+AE5+AG5+AI5+AK5+AM5+AO5+AQ5+AS5+AU5+AW5+AY5+BA5+BC5+BE5+BG5+BI5+BK5+BM5+BO5+BQ5)</f>
        <v>125987034.62</v>
      </c>
    </row>
    <row r="6" spans="1:71" x14ac:dyDescent="0.25">
      <c r="A6" s="26" t="s">
        <v>217</v>
      </c>
      <c r="B6" s="10">
        <v>5716</v>
      </c>
      <c r="C6" s="10">
        <v>16614</v>
      </c>
      <c r="D6" s="10">
        <v>40192</v>
      </c>
      <c r="E6" s="10">
        <v>105587</v>
      </c>
      <c r="F6" s="10">
        <v>7858</v>
      </c>
      <c r="G6" s="10">
        <v>24249</v>
      </c>
      <c r="H6" s="10">
        <v>40819</v>
      </c>
      <c r="I6" s="10">
        <v>101983</v>
      </c>
      <c r="J6" s="10">
        <v>96634</v>
      </c>
      <c r="K6" s="10">
        <v>315037</v>
      </c>
      <c r="L6" s="10">
        <v>43744</v>
      </c>
      <c r="M6" s="10">
        <v>110211</v>
      </c>
      <c r="N6" s="10">
        <v>24735</v>
      </c>
      <c r="O6" s="10">
        <v>92870</v>
      </c>
      <c r="P6" s="10">
        <v>2065</v>
      </c>
      <c r="Q6" s="10">
        <v>5550</v>
      </c>
      <c r="R6" s="10">
        <v>3902</v>
      </c>
      <c r="S6" s="10">
        <v>9664</v>
      </c>
      <c r="T6" s="10">
        <v>24100.42</v>
      </c>
      <c r="U6" s="10">
        <v>83251.59</v>
      </c>
      <c r="V6" s="10"/>
      <c r="W6" s="10"/>
      <c r="X6" s="10">
        <v>19874</v>
      </c>
      <c r="Y6" s="10">
        <v>59963</v>
      </c>
      <c r="Z6" s="10">
        <v>69281</v>
      </c>
      <c r="AA6" s="10">
        <v>207818</v>
      </c>
      <c r="AB6" s="10">
        <v>155543</v>
      </c>
      <c r="AC6" s="10">
        <v>462039</v>
      </c>
      <c r="AD6" s="10">
        <v>44814</v>
      </c>
      <c r="AE6" s="10">
        <v>206276</v>
      </c>
      <c r="AF6" s="10">
        <v>4823</v>
      </c>
      <c r="AG6" s="10">
        <v>21484</v>
      </c>
      <c r="AH6" s="10">
        <v>25481</v>
      </c>
      <c r="AI6" s="10">
        <v>86499</v>
      </c>
      <c r="AJ6" s="89">
        <v>1359</v>
      </c>
      <c r="AK6" s="10">
        <v>5709</v>
      </c>
      <c r="AL6" s="10">
        <v>13231</v>
      </c>
      <c r="AM6" s="10">
        <v>42569</v>
      </c>
      <c r="AN6" s="10">
        <v>14782</v>
      </c>
      <c r="AO6" s="10">
        <v>58704</v>
      </c>
      <c r="AP6" s="10">
        <v>95623</v>
      </c>
      <c r="AQ6" s="10">
        <v>328939</v>
      </c>
      <c r="AR6" s="10">
        <v>157768</v>
      </c>
      <c r="AS6" s="10">
        <v>425262</v>
      </c>
      <c r="AT6" s="10">
        <v>103857</v>
      </c>
      <c r="AU6" s="10">
        <v>285971</v>
      </c>
      <c r="AV6" s="10">
        <v>2737</v>
      </c>
      <c r="AW6" s="10">
        <v>5008</v>
      </c>
      <c r="AX6" s="10">
        <v>39573</v>
      </c>
      <c r="AY6" s="10">
        <v>151214</v>
      </c>
      <c r="AZ6" s="10"/>
      <c r="BA6" s="10"/>
      <c r="BB6" s="10">
        <v>90548</v>
      </c>
      <c r="BC6" s="10">
        <v>216907</v>
      </c>
      <c r="BD6" s="10">
        <v>22408</v>
      </c>
      <c r="BE6" s="10">
        <v>62335</v>
      </c>
      <c r="BF6" s="10">
        <v>120050</v>
      </c>
      <c r="BG6" s="10">
        <v>311689</v>
      </c>
      <c r="BH6" s="10">
        <v>37999</v>
      </c>
      <c r="BI6" s="10">
        <v>106839</v>
      </c>
      <c r="BJ6" s="10">
        <v>81134</v>
      </c>
      <c r="BK6" s="10">
        <v>202658</v>
      </c>
      <c r="BL6" s="10">
        <v>46634</v>
      </c>
      <c r="BM6" s="10">
        <v>177348</v>
      </c>
      <c r="BN6" s="10">
        <v>147211</v>
      </c>
      <c r="BO6" s="10">
        <v>389409</v>
      </c>
      <c r="BP6" s="10">
        <v>17146</v>
      </c>
      <c r="BQ6" s="10">
        <v>44422</v>
      </c>
      <c r="BR6" s="85">
        <f t="shared" ref="BR6:BR18" si="0">SUM(B6+D6+F6+H6+J6+L6+N6+P6+R6+T6+V6+X6+Z6+AB6+AD6+AF6+AH6+AJ6+AL6+AN6+AP6+AR6+AT6+AV6+AX6+AZ6+BB6+BD6+BF6+BH6+BJ6+BL6+BN6+BP6)</f>
        <v>1601641.42</v>
      </c>
      <c r="BS6" s="85">
        <f t="shared" ref="BS6:BS18" si="1">SUM(C6+E6+G6+I6+K6+M6+O6+Q6+S6+U6+W6+Y6+AA6+AC6+AE6+AG6+AI6+AK6+AM6+AO6+AQ6+AS6+AU6+AW6+AY6+BA6+BC6+BE6+BG6+BI6+BK6+BM6+BO6+BQ6)</f>
        <v>4724078.59</v>
      </c>
    </row>
    <row r="7" spans="1:71" x14ac:dyDescent="0.25">
      <c r="A7" s="26" t="s">
        <v>218</v>
      </c>
      <c r="B7" s="10">
        <v>119</v>
      </c>
      <c r="C7" s="10">
        <v>248</v>
      </c>
      <c r="D7" s="10">
        <v>35956</v>
      </c>
      <c r="E7" s="10">
        <v>59707</v>
      </c>
      <c r="F7" s="10">
        <v>220</v>
      </c>
      <c r="G7" s="10">
        <v>876</v>
      </c>
      <c r="H7" s="10">
        <v>4589</v>
      </c>
      <c r="I7" s="10">
        <v>9379</v>
      </c>
      <c r="J7" s="10">
        <v>3498</v>
      </c>
      <c r="K7" s="10">
        <v>10751</v>
      </c>
      <c r="L7" s="10">
        <v>4655</v>
      </c>
      <c r="M7" s="10">
        <v>23321</v>
      </c>
      <c r="N7" s="10">
        <v>9429</v>
      </c>
      <c r="O7" s="10">
        <v>25555</v>
      </c>
      <c r="P7" s="10">
        <v>7335</v>
      </c>
      <c r="Q7" s="10">
        <v>14229</v>
      </c>
      <c r="R7" s="10">
        <v>2504</v>
      </c>
      <c r="S7" s="10">
        <v>9204</v>
      </c>
      <c r="T7" s="10">
        <v>5388.91</v>
      </c>
      <c r="U7" s="10">
        <v>6879.69</v>
      </c>
      <c r="V7" s="10"/>
      <c r="W7" s="10"/>
      <c r="X7" s="10">
        <v>5913</v>
      </c>
      <c r="Y7" s="10">
        <v>32860</v>
      </c>
      <c r="Z7" s="10">
        <v>142325</v>
      </c>
      <c r="AA7" s="10">
        <v>576646</v>
      </c>
      <c r="AB7" s="10">
        <v>30074</v>
      </c>
      <c r="AC7" s="10">
        <v>79154</v>
      </c>
      <c r="AD7" s="10">
        <v>1449</v>
      </c>
      <c r="AE7" s="10">
        <v>13584</v>
      </c>
      <c r="AF7" s="10">
        <v>531</v>
      </c>
      <c r="AG7" s="10">
        <v>4687</v>
      </c>
      <c r="AH7" s="10">
        <v>27448</v>
      </c>
      <c r="AI7" s="10">
        <v>115075</v>
      </c>
      <c r="AJ7" s="89"/>
      <c r="AK7" s="10"/>
      <c r="AL7" s="10">
        <v>33638</v>
      </c>
      <c r="AM7" s="10">
        <v>84957</v>
      </c>
      <c r="AN7" s="10">
        <v>16172</v>
      </c>
      <c r="AO7" s="10">
        <v>46873</v>
      </c>
      <c r="AP7" s="10">
        <v>6409</v>
      </c>
      <c r="AQ7" s="10">
        <v>33406</v>
      </c>
      <c r="AR7" s="10">
        <v>58879</v>
      </c>
      <c r="AS7" s="10">
        <v>151648</v>
      </c>
      <c r="AT7" s="10">
        <v>17402</v>
      </c>
      <c r="AU7" s="10">
        <v>40346</v>
      </c>
      <c r="AV7" s="10"/>
      <c r="AW7" s="10"/>
      <c r="AX7" s="10"/>
      <c r="AY7" s="10"/>
      <c r="AZ7" s="10"/>
      <c r="BA7" s="10"/>
      <c r="BB7" s="10">
        <v>9920</v>
      </c>
      <c r="BC7" s="10">
        <v>20344</v>
      </c>
      <c r="BD7" s="10">
        <v>2834</v>
      </c>
      <c r="BE7" s="10">
        <v>12952</v>
      </c>
      <c r="BF7" s="10">
        <v>12969</v>
      </c>
      <c r="BG7" s="10">
        <v>29976</v>
      </c>
      <c r="BH7" s="10">
        <v>3879</v>
      </c>
      <c r="BI7" s="10">
        <v>8103</v>
      </c>
      <c r="BJ7" s="10">
        <v>16755</v>
      </c>
      <c r="BK7" s="10">
        <v>54158</v>
      </c>
      <c r="BL7" s="10">
        <v>56203</v>
      </c>
      <c r="BM7" s="10">
        <v>139323</v>
      </c>
      <c r="BN7" s="10">
        <v>10002</v>
      </c>
      <c r="BO7" s="10">
        <v>36062</v>
      </c>
      <c r="BP7" s="10">
        <v>269</v>
      </c>
      <c r="BQ7" s="10">
        <v>1737</v>
      </c>
      <c r="BR7" s="85">
        <f t="shared" si="0"/>
        <v>526764.91</v>
      </c>
      <c r="BS7" s="85">
        <f t="shared" si="1"/>
        <v>1642040.69</v>
      </c>
    </row>
    <row r="8" spans="1:71" x14ac:dyDescent="0.25">
      <c r="A8" s="26" t="s">
        <v>219</v>
      </c>
      <c r="B8" s="10">
        <v>12168</v>
      </c>
      <c r="C8" s="10">
        <v>32388</v>
      </c>
      <c r="D8" s="10">
        <v>33917</v>
      </c>
      <c r="E8" s="10">
        <v>105918</v>
      </c>
      <c r="F8" s="10">
        <v>19441</v>
      </c>
      <c r="G8" s="10">
        <v>59581</v>
      </c>
      <c r="H8" s="10">
        <v>41390</v>
      </c>
      <c r="I8" s="10">
        <v>124797</v>
      </c>
      <c r="J8" s="10">
        <v>90221</v>
      </c>
      <c r="K8" s="10">
        <v>278979</v>
      </c>
      <c r="L8" s="10">
        <v>67633</v>
      </c>
      <c r="M8" s="10">
        <v>192638</v>
      </c>
      <c r="N8" s="10">
        <v>32693</v>
      </c>
      <c r="O8" s="10">
        <v>88472</v>
      </c>
      <c r="P8" s="10">
        <v>16333</v>
      </c>
      <c r="Q8" s="10">
        <v>49050</v>
      </c>
      <c r="R8" s="10">
        <v>12783</v>
      </c>
      <c r="S8" s="10">
        <v>34208</v>
      </c>
      <c r="T8" s="10">
        <v>62463.59</v>
      </c>
      <c r="U8" s="10">
        <v>199664.15</v>
      </c>
      <c r="V8" s="10"/>
      <c r="W8" s="10"/>
      <c r="X8" s="10">
        <v>13520</v>
      </c>
      <c r="Y8" s="10">
        <v>35541</v>
      </c>
      <c r="Z8" s="10">
        <v>79101</v>
      </c>
      <c r="AA8" s="10">
        <v>271754</v>
      </c>
      <c r="AB8" s="10">
        <v>263829</v>
      </c>
      <c r="AC8" s="10">
        <v>806101</v>
      </c>
      <c r="AD8" s="10">
        <v>113252</v>
      </c>
      <c r="AE8" s="10">
        <v>320671</v>
      </c>
      <c r="AF8" s="10">
        <v>19017</v>
      </c>
      <c r="AG8" s="10">
        <v>58818</v>
      </c>
      <c r="AH8" s="10">
        <v>39634</v>
      </c>
      <c r="AI8" s="10">
        <v>118798</v>
      </c>
      <c r="AJ8" s="89">
        <v>1430</v>
      </c>
      <c r="AK8" s="10">
        <v>5225</v>
      </c>
      <c r="AL8" s="10">
        <v>22616</v>
      </c>
      <c r="AM8" s="10">
        <v>66891</v>
      </c>
      <c r="AN8" s="10">
        <v>44071</v>
      </c>
      <c r="AO8" s="10">
        <v>114084</v>
      </c>
      <c r="AP8" s="10">
        <v>247310</v>
      </c>
      <c r="AQ8" s="10">
        <v>697349</v>
      </c>
      <c r="AR8" s="10">
        <v>349369</v>
      </c>
      <c r="AS8" s="10">
        <v>1018786</v>
      </c>
      <c r="AT8" s="10">
        <v>225115</v>
      </c>
      <c r="AU8" s="10">
        <v>621911</v>
      </c>
      <c r="AV8" s="10">
        <v>6271</v>
      </c>
      <c r="AW8" s="10">
        <v>19464</v>
      </c>
      <c r="AX8" s="10">
        <v>55216</v>
      </c>
      <c r="AY8" s="10">
        <v>181680</v>
      </c>
      <c r="AZ8" s="10"/>
      <c r="BA8" s="10"/>
      <c r="BB8" s="10">
        <v>40779</v>
      </c>
      <c r="BC8" s="10">
        <v>105107</v>
      </c>
      <c r="BD8" s="10">
        <v>45578</v>
      </c>
      <c r="BE8" s="10">
        <v>130716</v>
      </c>
      <c r="BF8" s="10">
        <v>65620</v>
      </c>
      <c r="BG8" s="10">
        <v>196432</v>
      </c>
      <c r="BH8" s="10">
        <v>27119</v>
      </c>
      <c r="BI8" s="10">
        <v>78771</v>
      </c>
      <c r="BJ8" s="10">
        <v>143462</v>
      </c>
      <c r="BK8" s="10">
        <v>435367</v>
      </c>
      <c r="BL8" s="10">
        <v>410209</v>
      </c>
      <c r="BM8" s="10">
        <v>1501888</v>
      </c>
      <c r="BN8" s="10">
        <v>283464</v>
      </c>
      <c r="BO8" s="10">
        <v>668680</v>
      </c>
      <c r="BP8" s="10">
        <v>73064</v>
      </c>
      <c r="BQ8" s="10">
        <v>247742</v>
      </c>
      <c r="BR8" s="85">
        <f t="shared" si="0"/>
        <v>2958088.59</v>
      </c>
      <c r="BS8" s="85">
        <f t="shared" si="1"/>
        <v>8867471.1500000004</v>
      </c>
    </row>
    <row r="9" spans="1:71" x14ac:dyDescent="0.25">
      <c r="A9" s="26" t="s">
        <v>220</v>
      </c>
      <c r="B9" s="10">
        <v>5275</v>
      </c>
      <c r="C9" s="10">
        <v>12847</v>
      </c>
      <c r="D9" s="10">
        <v>3019</v>
      </c>
      <c r="E9" s="10">
        <v>7650</v>
      </c>
      <c r="F9" s="10">
        <v>4664</v>
      </c>
      <c r="G9" s="10">
        <v>14618</v>
      </c>
      <c r="H9" s="10">
        <v>23631</v>
      </c>
      <c r="I9" s="10">
        <v>74687</v>
      </c>
      <c r="J9" s="10">
        <v>34729</v>
      </c>
      <c r="K9" s="10">
        <v>95630</v>
      </c>
      <c r="L9" s="10">
        <v>14426</v>
      </c>
      <c r="M9" s="10">
        <v>35065</v>
      </c>
      <c r="N9" s="10">
        <v>9675</v>
      </c>
      <c r="O9" s="10">
        <v>24917</v>
      </c>
      <c r="P9" s="10">
        <v>2401</v>
      </c>
      <c r="Q9" s="10">
        <v>6764</v>
      </c>
      <c r="R9" s="10">
        <v>1579</v>
      </c>
      <c r="S9" s="10">
        <v>6144</v>
      </c>
      <c r="T9" s="10">
        <v>35244.51</v>
      </c>
      <c r="U9" s="10">
        <v>143116.12</v>
      </c>
      <c r="V9" s="10"/>
      <c r="W9" s="10"/>
      <c r="X9" s="10"/>
      <c r="Y9" s="10"/>
      <c r="Z9" s="10">
        <v>32851</v>
      </c>
      <c r="AA9" s="10">
        <v>101961</v>
      </c>
      <c r="AB9" s="10">
        <v>126438</v>
      </c>
      <c r="AC9" s="10">
        <v>372555</v>
      </c>
      <c r="AD9" s="10">
        <v>37549</v>
      </c>
      <c r="AE9" s="10">
        <v>110271</v>
      </c>
      <c r="AF9" s="10">
        <v>4567</v>
      </c>
      <c r="AG9" s="10">
        <v>13428</v>
      </c>
      <c r="AH9" s="10">
        <v>34872</v>
      </c>
      <c r="AI9" s="10">
        <v>105730</v>
      </c>
      <c r="AJ9" s="89">
        <v>149</v>
      </c>
      <c r="AK9" s="10">
        <v>1495</v>
      </c>
      <c r="AL9" s="10">
        <v>1707</v>
      </c>
      <c r="AM9" s="10">
        <v>4121</v>
      </c>
      <c r="AN9" s="10">
        <v>29659</v>
      </c>
      <c r="AO9" s="10">
        <v>114224</v>
      </c>
      <c r="AP9" s="10">
        <v>11849</v>
      </c>
      <c r="AQ9" s="10">
        <v>49021</v>
      </c>
      <c r="AR9" s="10">
        <v>156184</v>
      </c>
      <c r="AS9" s="10">
        <v>445631</v>
      </c>
      <c r="AT9" s="10">
        <v>77196</v>
      </c>
      <c r="AU9" s="10">
        <v>191721</v>
      </c>
      <c r="AV9" s="10">
        <v>2568</v>
      </c>
      <c r="AW9" s="10">
        <v>8209</v>
      </c>
      <c r="AX9" s="10">
        <v>88401</v>
      </c>
      <c r="AY9" s="10">
        <v>256907</v>
      </c>
      <c r="AZ9" s="10"/>
      <c r="BA9" s="10"/>
      <c r="BB9" s="10">
        <v>9428</v>
      </c>
      <c r="BC9" s="10">
        <v>35567</v>
      </c>
      <c r="BD9" s="10">
        <v>15915</v>
      </c>
      <c r="BE9" s="10">
        <v>43782</v>
      </c>
      <c r="BF9" s="10">
        <v>71329</v>
      </c>
      <c r="BG9" s="10">
        <v>195320</v>
      </c>
      <c r="BH9" s="10">
        <v>10866</v>
      </c>
      <c r="BI9" s="10">
        <v>31410</v>
      </c>
      <c r="BJ9" s="10">
        <v>48088</v>
      </c>
      <c r="BK9" s="10">
        <v>147730</v>
      </c>
      <c r="BL9" s="10">
        <v>9189</v>
      </c>
      <c r="BM9" s="10">
        <v>26928</v>
      </c>
      <c r="BN9" s="10">
        <v>65405</v>
      </c>
      <c r="BO9" s="10">
        <v>198537</v>
      </c>
      <c r="BP9" s="10">
        <v>42378</v>
      </c>
      <c r="BQ9" s="10">
        <v>126749</v>
      </c>
      <c r="BR9" s="85">
        <f t="shared" si="0"/>
        <v>1011231.51</v>
      </c>
      <c r="BS9" s="85">
        <f t="shared" si="1"/>
        <v>3002735.12</v>
      </c>
    </row>
    <row r="10" spans="1:71" x14ac:dyDescent="0.25">
      <c r="A10" s="26" t="s">
        <v>221</v>
      </c>
      <c r="B10" s="10">
        <v>1439</v>
      </c>
      <c r="C10" s="10">
        <v>2788</v>
      </c>
      <c r="D10" s="10">
        <v>23677</v>
      </c>
      <c r="E10" s="10">
        <v>57693</v>
      </c>
      <c r="F10" s="10">
        <v>3431</v>
      </c>
      <c r="G10" s="10">
        <v>11409</v>
      </c>
      <c r="H10" s="10">
        <v>12311</v>
      </c>
      <c r="I10" s="10">
        <v>43207</v>
      </c>
      <c r="J10" s="10">
        <v>56915</v>
      </c>
      <c r="K10" s="10">
        <v>189716</v>
      </c>
      <c r="L10" s="10">
        <v>7872</v>
      </c>
      <c r="M10" s="10">
        <v>18540</v>
      </c>
      <c r="N10" s="10">
        <v>10318</v>
      </c>
      <c r="O10" s="10">
        <v>35146</v>
      </c>
      <c r="P10" s="10">
        <v>428</v>
      </c>
      <c r="Q10" s="10">
        <v>1088</v>
      </c>
      <c r="R10" s="10">
        <v>17368</v>
      </c>
      <c r="S10" s="10">
        <v>23580</v>
      </c>
      <c r="T10" s="10">
        <v>4516.71</v>
      </c>
      <c r="U10" s="10">
        <v>12175.26</v>
      </c>
      <c r="V10" s="10"/>
      <c r="W10" s="10"/>
      <c r="X10" s="10">
        <v>2754</v>
      </c>
      <c r="Y10" s="10">
        <v>5923</v>
      </c>
      <c r="Z10" s="10">
        <v>32359</v>
      </c>
      <c r="AA10" s="10">
        <v>99088</v>
      </c>
      <c r="AB10" s="10">
        <v>27797</v>
      </c>
      <c r="AC10" s="10">
        <v>80575</v>
      </c>
      <c r="AD10" s="10">
        <v>22061</v>
      </c>
      <c r="AE10" s="10">
        <v>60818</v>
      </c>
      <c r="AF10" s="10">
        <v>5629</v>
      </c>
      <c r="AG10" s="10">
        <v>10615</v>
      </c>
      <c r="AH10" s="10">
        <v>8122</v>
      </c>
      <c r="AI10" s="10">
        <v>24003</v>
      </c>
      <c r="AJ10" s="89">
        <v>225</v>
      </c>
      <c r="AK10" s="10">
        <v>946</v>
      </c>
      <c r="AL10" s="10">
        <v>11219</v>
      </c>
      <c r="AM10" s="10">
        <v>31103</v>
      </c>
      <c r="AN10" s="10">
        <v>1168</v>
      </c>
      <c r="AO10" s="10">
        <v>16191</v>
      </c>
      <c r="AP10" s="10">
        <v>71694</v>
      </c>
      <c r="AQ10" s="10">
        <v>176686</v>
      </c>
      <c r="AR10" s="10">
        <v>89140</v>
      </c>
      <c r="AS10" s="10">
        <v>273247</v>
      </c>
      <c r="AT10" s="10">
        <v>49486</v>
      </c>
      <c r="AU10" s="10">
        <v>142297</v>
      </c>
      <c r="AV10" s="10">
        <v>392</v>
      </c>
      <c r="AW10" s="10">
        <v>754</v>
      </c>
      <c r="AX10" s="10">
        <v>10251</v>
      </c>
      <c r="AY10" s="10">
        <v>41934</v>
      </c>
      <c r="AZ10" s="10"/>
      <c r="BA10" s="10"/>
      <c r="BB10" s="10">
        <v>16211</v>
      </c>
      <c r="BC10" s="10">
        <v>38199</v>
      </c>
      <c r="BD10" s="10">
        <v>11979</v>
      </c>
      <c r="BE10" s="10">
        <v>39636</v>
      </c>
      <c r="BF10" s="10">
        <v>88871</v>
      </c>
      <c r="BG10" s="10">
        <v>213573</v>
      </c>
      <c r="BH10" s="10">
        <v>9853</v>
      </c>
      <c r="BI10" s="10">
        <v>25826</v>
      </c>
      <c r="BJ10" s="10">
        <v>41280</v>
      </c>
      <c r="BK10" s="10">
        <v>108655</v>
      </c>
      <c r="BL10" s="10">
        <v>24951</v>
      </c>
      <c r="BM10" s="10">
        <v>69937</v>
      </c>
      <c r="BN10" s="10">
        <v>58584</v>
      </c>
      <c r="BO10" s="10">
        <v>144768</v>
      </c>
      <c r="BP10" s="10">
        <v>11545</v>
      </c>
      <c r="BQ10" s="10">
        <v>30220</v>
      </c>
      <c r="BR10" s="85">
        <f t="shared" si="0"/>
        <v>733846.71</v>
      </c>
      <c r="BS10" s="85">
        <f t="shared" si="1"/>
        <v>2030336.26</v>
      </c>
    </row>
    <row r="11" spans="1:71" x14ac:dyDescent="0.25">
      <c r="A11" s="26" t="s">
        <v>222</v>
      </c>
      <c r="B11" s="10">
        <v>2330</v>
      </c>
      <c r="C11" s="10">
        <v>7094</v>
      </c>
      <c r="D11" s="10">
        <v>9132</v>
      </c>
      <c r="E11" s="10">
        <v>27265</v>
      </c>
      <c r="F11" s="10">
        <v>2999</v>
      </c>
      <c r="G11" s="10">
        <v>8214</v>
      </c>
      <c r="H11" s="10">
        <v>31467</v>
      </c>
      <c r="I11" s="10">
        <v>65477</v>
      </c>
      <c r="J11" s="10">
        <v>74992</v>
      </c>
      <c r="K11" s="10">
        <v>248688</v>
      </c>
      <c r="L11" s="10">
        <v>57173</v>
      </c>
      <c r="M11" s="10">
        <v>170624</v>
      </c>
      <c r="N11" s="10">
        <v>22489</v>
      </c>
      <c r="O11" s="10">
        <v>63977</v>
      </c>
      <c r="P11" s="10">
        <v>2255</v>
      </c>
      <c r="Q11" s="10">
        <v>5755</v>
      </c>
      <c r="R11" s="10">
        <v>600</v>
      </c>
      <c r="S11" s="10">
        <v>2290</v>
      </c>
      <c r="T11" s="10">
        <v>-809.1</v>
      </c>
      <c r="U11" s="10">
        <v>8526.5400000000009</v>
      </c>
      <c r="V11" s="10"/>
      <c r="W11" s="10"/>
      <c r="X11" s="10">
        <v>4180</v>
      </c>
      <c r="Y11" s="10">
        <v>10322</v>
      </c>
      <c r="Z11" s="10">
        <v>12350</v>
      </c>
      <c r="AA11" s="10">
        <v>34487</v>
      </c>
      <c r="AB11" s="10">
        <v>98627</v>
      </c>
      <c r="AC11" s="10">
        <v>294999</v>
      </c>
      <c r="AD11" s="10">
        <v>19156</v>
      </c>
      <c r="AE11" s="10">
        <v>89350</v>
      </c>
      <c r="AF11" s="10">
        <v>4216</v>
      </c>
      <c r="AG11" s="10">
        <v>9569</v>
      </c>
      <c r="AH11" s="10">
        <v>60886</v>
      </c>
      <c r="AI11" s="10">
        <v>130608</v>
      </c>
      <c r="AJ11" s="89">
        <v>246</v>
      </c>
      <c r="AK11" s="10">
        <v>1237</v>
      </c>
      <c r="AL11" s="10">
        <v>12893</v>
      </c>
      <c r="AM11" s="10">
        <v>37363</v>
      </c>
      <c r="AN11" s="10">
        <v>12515</v>
      </c>
      <c r="AO11" s="10">
        <v>51917</v>
      </c>
      <c r="AP11" s="10">
        <v>61097</v>
      </c>
      <c r="AQ11" s="10">
        <v>227747</v>
      </c>
      <c r="AR11" s="10">
        <v>59063</v>
      </c>
      <c r="AS11" s="10">
        <v>167501</v>
      </c>
      <c r="AT11" s="10">
        <v>34337</v>
      </c>
      <c r="AU11" s="10">
        <v>100568</v>
      </c>
      <c r="AV11" s="10">
        <v>1111</v>
      </c>
      <c r="AW11" s="10">
        <v>3042</v>
      </c>
      <c r="AX11" s="10">
        <v>21750</v>
      </c>
      <c r="AY11" s="10">
        <v>104382</v>
      </c>
      <c r="AZ11" s="10"/>
      <c r="BA11" s="10"/>
      <c r="BB11" s="10">
        <v>25196</v>
      </c>
      <c r="BC11" s="10">
        <v>73347</v>
      </c>
      <c r="BD11" s="10">
        <v>26764</v>
      </c>
      <c r="BE11" s="10">
        <v>75196</v>
      </c>
      <c r="BF11" s="10">
        <v>62485</v>
      </c>
      <c r="BG11" s="10">
        <v>167852</v>
      </c>
      <c r="BH11" s="10">
        <v>12307</v>
      </c>
      <c r="BI11" s="10">
        <v>35234</v>
      </c>
      <c r="BJ11" s="10">
        <v>57278</v>
      </c>
      <c r="BK11" s="10">
        <v>149946</v>
      </c>
      <c r="BL11" s="10">
        <v>67050</v>
      </c>
      <c r="BM11" s="10">
        <v>195829</v>
      </c>
      <c r="BN11" s="10">
        <v>75108</v>
      </c>
      <c r="BO11" s="10">
        <v>219797</v>
      </c>
      <c r="BP11" s="10">
        <v>15902</v>
      </c>
      <c r="BQ11" s="10">
        <v>39417</v>
      </c>
      <c r="BR11" s="85">
        <f t="shared" si="0"/>
        <v>947144.9</v>
      </c>
      <c r="BS11" s="85">
        <f t="shared" si="1"/>
        <v>2827620.54</v>
      </c>
    </row>
    <row r="12" spans="1:71" x14ac:dyDescent="0.25">
      <c r="A12" s="26" t="s">
        <v>223</v>
      </c>
      <c r="B12" s="10">
        <v>29797</v>
      </c>
      <c r="C12" s="10">
        <v>73112</v>
      </c>
      <c r="D12" s="10">
        <v>36350</v>
      </c>
      <c r="E12" s="10">
        <v>108273</v>
      </c>
      <c r="F12" s="10">
        <v>5246</v>
      </c>
      <c r="G12" s="10">
        <v>18765</v>
      </c>
      <c r="H12" s="10">
        <v>30193</v>
      </c>
      <c r="I12" s="10">
        <v>86350</v>
      </c>
      <c r="J12" s="10">
        <v>44960</v>
      </c>
      <c r="K12" s="10">
        <v>100148</v>
      </c>
      <c r="L12" s="10">
        <v>65438</v>
      </c>
      <c r="M12" s="10">
        <v>150675</v>
      </c>
      <c r="N12" s="10">
        <v>32022</v>
      </c>
      <c r="O12" s="10">
        <v>111375</v>
      </c>
      <c r="P12" s="10">
        <v>42390</v>
      </c>
      <c r="Q12" s="10">
        <v>149814</v>
      </c>
      <c r="R12" s="10">
        <v>18242</v>
      </c>
      <c r="S12" s="10">
        <v>52921</v>
      </c>
      <c r="T12" s="10">
        <v>15835.82</v>
      </c>
      <c r="U12" s="10">
        <v>28973.3</v>
      </c>
      <c r="V12" s="10"/>
      <c r="W12" s="10"/>
      <c r="X12" s="10">
        <v>317947</v>
      </c>
      <c r="Y12" s="10">
        <v>487168</v>
      </c>
      <c r="Z12" s="10">
        <v>493420</v>
      </c>
      <c r="AA12" s="10">
        <v>2314276</v>
      </c>
      <c r="AB12" s="10">
        <v>422191</v>
      </c>
      <c r="AC12" s="10">
        <v>1068720</v>
      </c>
      <c r="AD12" s="10">
        <v>286685</v>
      </c>
      <c r="AE12" s="10">
        <v>614510</v>
      </c>
      <c r="AF12" s="10">
        <v>29242</v>
      </c>
      <c r="AG12" s="10">
        <v>60823</v>
      </c>
      <c r="AH12" s="10">
        <v>74099</v>
      </c>
      <c r="AI12" s="10">
        <v>169934</v>
      </c>
      <c r="AJ12" s="89">
        <v>407</v>
      </c>
      <c r="AK12" s="10">
        <v>4279</v>
      </c>
      <c r="AL12" s="10">
        <v>51103</v>
      </c>
      <c r="AM12" s="10">
        <v>137267</v>
      </c>
      <c r="AN12" s="10">
        <v>189083</v>
      </c>
      <c r="AO12" s="10">
        <v>523998</v>
      </c>
      <c r="AP12" s="10">
        <v>89022</v>
      </c>
      <c r="AQ12" s="10">
        <v>167657</v>
      </c>
      <c r="AR12" s="10">
        <v>139699</v>
      </c>
      <c r="AS12" s="10">
        <v>493166</v>
      </c>
      <c r="AT12" s="10">
        <v>19205</v>
      </c>
      <c r="AU12" s="10">
        <v>50228</v>
      </c>
      <c r="AV12" s="10">
        <v>6320</v>
      </c>
      <c r="AW12" s="10">
        <v>12110</v>
      </c>
      <c r="AX12" s="10">
        <v>19084</v>
      </c>
      <c r="AY12" s="10">
        <v>62957</v>
      </c>
      <c r="AZ12" s="10"/>
      <c r="BA12" s="10"/>
      <c r="BB12" s="10">
        <v>167308</v>
      </c>
      <c r="BC12" s="10">
        <v>458647</v>
      </c>
      <c r="BD12" s="10">
        <v>4716</v>
      </c>
      <c r="BE12" s="10">
        <v>10822</v>
      </c>
      <c r="BF12" s="10">
        <v>115430</v>
      </c>
      <c r="BG12" s="10">
        <v>462934</v>
      </c>
      <c r="BH12" s="10">
        <v>52582</v>
      </c>
      <c r="BI12" s="10">
        <v>156747</v>
      </c>
      <c r="BJ12" s="10">
        <v>17443</v>
      </c>
      <c r="BK12" s="10">
        <v>84169</v>
      </c>
      <c r="BL12" s="10">
        <v>733936</v>
      </c>
      <c r="BM12" s="10">
        <v>2607722</v>
      </c>
      <c r="BN12" s="10">
        <v>47179</v>
      </c>
      <c r="BO12" s="10">
        <v>113454</v>
      </c>
      <c r="BP12" s="10">
        <v>34366</v>
      </c>
      <c r="BQ12" s="10">
        <v>97574</v>
      </c>
      <c r="BR12" s="85">
        <f t="shared" si="0"/>
        <v>3630940.8200000003</v>
      </c>
      <c r="BS12" s="85">
        <f t="shared" si="1"/>
        <v>11039568.300000001</v>
      </c>
    </row>
    <row r="13" spans="1:71" x14ac:dyDescent="0.25">
      <c r="A13" s="26" t="s">
        <v>224</v>
      </c>
      <c r="B13" s="10">
        <v>545438</v>
      </c>
      <c r="C13" s="10">
        <v>1350064</v>
      </c>
      <c r="D13" s="10">
        <v>309164</v>
      </c>
      <c r="E13" s="10">
        <v>662438</v>
      </c>
      <c r="F13" s="10">
        <v>27789</v>
      </c>
      <c r="G13" s="10">
        <v>351579</v>
      </c>
      <c r="H13" s="10">
        <v>320288</v>
      </c>
      <c r="I13" s="10">
        <v>1159906</v>
      </c>
      <c r="J13" s="10">
        <v>172726</v>
      </c>
      <c r="K13" s="10">
        <v>466502</v>
      </c>
      <c r="L13" s="10">
        <v>952065</v>
      </c>
      <c r="M13" s="10">
        <v>2379304</v>
      </c>
      <c r="N13" s="10">
        <v>1113091</v>
      </c>
      <c r="O13" s="10">
        <v>1531110</v>
      </c>
      <c r="P13" s="10">
        <v>27824</v>
      </c>
      <c r="Q13" s="10">
        <v>202452</v>
      </c>
      <c r="R13" s="10">
        <v>47423</v>
      </c>
      <c r="S13" s="10">
        <v>96624</v>
      </c>
      <c r="T13" s="10">
        <v>23829</v>
      </c>
      <c r="U13" s="10">
        <v>51748.42</v>
      </c>
      <c r="V13" s="10"/>
      <c r="W13" s="10"/>
      <c r="X13" s="10">
        <v>873090</v>
      </c>
      <c r="Y13" s="10">
        <v>2844114</v>
      </c>
      <c r="Z13" s="10">
        <v>1349764</v>
      </c>
      <c r="AA13" s="10">
        <v>2968358</v>
      </c>
      <c r="AB13" s="10">
        <v>195039</v>
      </c>
      <c r="AC13" s="10">
        <v>1482834</v>
      </c>
      <c r="AD13" s="10">
        <v>297647</v>
      </c>
      <c r="AE13" s="10">
        <v>811428</v>
      </c>
      <c r="AF13" s="10">
        <v>68279</v>
      </c>
      <c r="AG13" s="10">
        <v>152167</v>
      </c>
      <c r="AH13" s="10">
        <v>348661</v>
      </c>
      <c r="AI13" s="10">
        <v>904133</v>
      </c>
      <c r="AJ13" s="89">
        <v>50046</v>
      </c>
      <c r="AK13" s="10">
        <v>144271</v>
      </c>
      <c r="AL13" s="10">
        <v>173758</v>
      </c>
      <c r="AM13" s="10">
        <v>389383</v>
      </c>
      <c r="AN13" s="10">
        <v>145091</v>
      </c>
      <c r="AO13" s="10">
        <v>429061</v>
      </c>
      <c r="AP13" s="10">
        <v>73653</v>
      </c>
      <c r="AQ13" s="10">
        <v>148553</v>
      </c>
      <c r="AR13" s="10">
        <v>110470</v>
      </c>
      <c r="AS13" s="10">
        <v>352486</v>
      </c>
      <c r="AT13" s="10">
        <v>41043</v>
      </c>
      <c r="AU13" s="10">
        <v>218121</v>
      </c>
      <c r="AV13" s="10">
        <v>104423</v>
      </c>
      <c r="AW13" s="10">
        <v>325835</v>
      </c>
      <c r="AX13" s="10">
        <v>1533548</v>
      </c>
      <c r="AY13" s="10">
        <v>4992631</v>
      </c>
      <c r="AZ13" s="10"/>
      <c r="BA13" s="10"/>
      <c r="BB13" s="10">
        <v>422903</v>
      </c>
      <c r="BC13" s="10">
        <v>935251</v>
      </c>
      <c r="BD13" s="10">
        <v>42566</v>
      </c>
      <c r="BE13" s="10">
        <v>229030</v>
      </c>
      <c r="BF13" s="10">
        <v>369707</v>
      </c>
      <c r="BG13" s="10">
        <v>742715</v>
      </c>
      <c r="BH13" s="10">
        <v>271809</v>
      </c>
      <c r="BI13" s="10">
        <v>372036</v>
      </c>
      <c r="BJ13" s="10">
        <v>181617</v>
      </c>
      <c r="BK13" s="10">
        <v>739514</v>
      </c>
      <c r="BL13" s="10">
        <v>639951</v>
      </c>
      <c r="BM13" s="10">
        <v>2649829</v>
      </c>
      <c r="BN13" s="10">
        <v>39599</v>
      </c>
      <c r="BO13" s="10">
        <v>117832</v>
      </c>
      <c r="BP13" s="10">
        <v>126737</v>
      </c>
      <c r="BQ13" s="10">
        <v>204470</v>
      </c>
      <c r="BR13" s="85">
        <f t="shared" si="0"/>
        <v>10999038</v>
      </c>
      <c r="BS13" s="85">
        <f t="shared" si="1"/>
        <v>30405779.420000002</v>
      </c>
    </row>
    <row r="14" spans="1:71" x14ac:dyDescent="0.25">
      <c r="A14" s="26" t="s">
        <v>225</v>
      </c>
      <c r="B14" s="10">
        <v>6776</v>
      </c>
      <c r="C14" s="10">
        <v>16840</v>
      </c>
      <c r="D14" s="10">
        <v>2437</v>
      </c>
      <c r="E14" s="10">
        <v>6673</v>
      </c>
      <c r="F14" s="10"/>
      <c r="G14" s="10"/>
      <c r="H14" s="10">
        <v>16095</v>
      </c>
      <c r="I14" s="10">
        <v>48396</v>
      </c>
      <c r="J14" s="10">
        <v>75804</v>
      </c>
      <c r="K14" s="10">
        <v>192104</v>
      </c>
      <c r="L14" s="10">
        <v>36629</v>
      </c>
      <c r="M14" s="10">
        <v>91531</v>
      </c>
      <c r="N14" s="10">
        <v>16361</v>
      </c>
      <c r="O14" s="10">
        <v>48610</v>
      </c>
      <c r="P14" s="10">
        <v>654</v>
      </c>
      <c r="Q14" s="10">
        <v>5154</v>
      </c>
      <c r="R14" s="10">
        <v>774</v>
      </c>
      <c r="S14" s="10">
        <v>1200</v>
      </c>
      <c r="T14" s="10">
        <v>146.72</v>
      </c>
      <c r="U14" s="10">
        <v>426.12</v>
      </c>
      <c r="V14" s="10"/>
      <c r="W14" s="10"/>
      <c r="X14" s="10">
        <v>19871</v>
      </c>
      <c r="Y14" s="10">
        <v>53229</v>
      </c>
      <c r="Z14" s="10">
        <v>66201</v>
      </c>
      <c r="AA14" s="10">
        <v>238926</v>
      </c>
      <c r="AB14" s="10">
        <v>125704</v>
      </c>
      <c r="AC14" s="10">
        <v>320291</v>
      </c>
      <c r="AD14" s="10">
        <v>25283</v>
      </c>
      <c r="AE14" s="10">
        <v>105000</v>
      </c>
      <c r="AF14" s="10">
        <v>3295</v>
      </c>
      <c r="AG14" s="10">
        <v>8023</v>
      </c>
      <c r="AH14" s="10">
        <v>5653</v>
      </c>
      <c r="AI14" s="10">
        <v>11642</v>
      </c>
      <c r="AJ14" s="89">
        <v>1228</v>
      </c>
      <c r="AK14" s="10">
        <v>3638</v>
      </c>
      <c r="AL14" s="10">
        <v>6357</v>
      </c>
      <c r="AM14" s="10">
        <v>16603</v>
      </c>
      <c r="AN14" s="10">
        <v>7945</v>
      </c>
      <c r="AO14" s="10">
        <v>25292</v>
      </c>
      <c r="AP14" s="10">
        <v>74438</v>
      </c>
      <c r="AQ14" s="10">
        <v>179117</v>
      </c>
      <c r="AR14" s="10">
        <v>49050</v>
      </c>
      <c r="AS14" s="10">
        <v>106770</v>
      </c>
      <c r="AT14" s="10">
        <v>16850</v>
      </c>
      <c r="AU14" s="10">
        <v>46214</v>
      </c>
      <c r="AV14" s="10">
        <v>1450</v>
      </c>
      <c r="AW14" s="10">
        <v>3353</v>
      </c>
      <c r="AX14" s="10">
        <v>23893</v>
      </c>
      <c r="AY14" s="10">
        <v>84161</v>
      </c>
      <c r="AZ14" s="10"/>
      <c r="BA14" s="10"/>
      <c r="BB14" s="10">
        <v>11186</v>
      </c>
      <c r="BC14" s="10">
        <v>29827</v>
      </c>
      <c r="BD14" s="10">
        <v>14992</v>
      </c>
      <c r="BE14" s="10">
        <v>37752</v>
      </c>
      <c r="BF14" s="10">
        <v>9606</v>
      </c>
      <c r="BG14" s="10">
        <v>19129</v>
      </c>
      <c r="BH14" s="10">
        <v>26360</v>
      </c>
      <c r="BI14" s="10">
        <v>76737</v>
      </c>
      <c r="BJ14" s="10">
        <v>31848</v>
      </c>
      <c r="BK14" s="10">
        <v>86499</v>
      </c>
      <c r="BL14" s="10">
        <v>41412</v>
      </c>
      <c r="BM14" s="10">
        <v>125649</v>
      </c>
      <c r="BN14" s="10">
        <v>67140</v>
      </c>
      <c r="BO14" s="10">
        <v>182522</v>
      </c>
      <c r="BP14" s="10">
        <v>6684</v>
      </c>
      <c r="BQ14" s="10">
        <v>15431</v>
      </c>
      <c r="BR14" s="85">
        <f t="shared" si="0"/>
        <v>792122.72</v>
      </c>
      <c r="BS14" s="85">
        <f t="shared" si="1"/>
        <v>2186739.12</v>
      </c>
    </row>
    <row r="15" spans="1:71" x14ac:dyDescent="0.25">
      <c r="A15" s="27" t="s">
        <v>45</v>
      </c>
      <c r="B15" s="10">
        <f>B18-B17-B16-B14-B13-B12-B11-B10-B9-B8-B7-B6-B5</f>
        <v>88870</v>
      </c>
      <c r="C15" s="10">
        <f t="shared" ref="C15:BN15" si="2">C18-C17-C16-C14-C13-C12-C11-C10-C9-C8-C7-C6-C5</f>
        <v>390192</v>
      </c>
      <c r="D15" s="10">
        <f t="shared" si="2"/>
        <v>133000</v>
      </c>
      <c r="E15" s="10">
        <f t="shared" si="2"/>
        <v>330096</v>
      </c>
      <c r="F15" s="10">
        <f t="shared" si="2"/>
        <v>248454</v>
      </c>
      <c r="G15" s="10">
        <f t="shared" si="2"/>
        <v>813134</v>
      </c>
      <c r="H15" s="10">
        <f t="shared" si="2"/>
        <v>224902</v>
      </c>
      <c r="I15" s="10">
        <f t="shared" si="2"/>
        <v>889783</v>
      </c>
      <c r="J15" s="10">
        <f t="shared" si="2"/>
        <v>2553439</v>
      </c>
      <c r="K15" s="10">
        <f t="shared" si="2"/>
        <v>7928194</v>
      </c>
      <c r="L15" s="10">
        <f t="shared" si="2"/>
        <v>231979</v>
      </c>
      <c r="M15" s="10">
        <f t="shared" si="2"/>
        <v>642511</v>
      </c>
      <c r="N15" s="10">
        <f t="shared" si="2"/>
        <v>905380</v>
      </c>
      <c r="O15" s="10">
        <f t="shared" si="2"/>
        <v>4434503</v>
      </c>
      <c r="P15" s="10">
        <f t="shared" si="2"/>
        <v>17349</v>
      </c>
      <c r="Q15" s="10">
        <f t="shared" si="2"/>
        <v>51414</v>
      </c>
      <c r="R15" s="10">
        <f t="shared" si="2"/>
        <v>19047</v>
      </c>
      <c r="S15" s="10">
        <f t="shared" si="2"/>
        <v>64836</v>
      </c>
      <c r="T15" s="10">
        <f t="shared" si="2"/>
        <v>59039.050000000047</v>
      </c>
      <c r="U15" s="10">
        <f t="shared" si="2"/>
        <v>156583.37000000011</v>
      </c>
      <c r="V15" s="10">
        <f t="shared" si="2"/>
        <v>0</v>
      </c>
      <c r="W15" s="10">
        <f t="shared" si="2"/>
        <v>0</v>
      </c>
      <c r="X15" s="10">
        <f t="shared" si="2"/>
        <v>275969</v>
      </c>
      <c r="Y15" s="10">
        <f t="shared" si="2"/>
        <v>677053</v>
      </c>
      <c r="Z15" s="10">
        <f t="shared" si="2"/>
        <v>191543</v>
      </c>
      <c r="AA15" s="10">
        <f t="shared" si="2"/>
        <v>560028</v>
      </c>
      <c r="AB15" s="10">
        <f t="shared" si="2"/>
        <v>3012894</v>
      </c>
      <c r="AC15" s="10">
        <f t="shared" si="2"/>
        <v>6661181</v>
      </c>
      <c r="AD15" s="10">
        <f t="shared" si="2"/>
        <v>141894</v>
      </c>
      <c r="AE15" s="10">
        <f t="shared" si="2"/>
        <v>369913</v>
      </c>
      <c r="AF15" s="10">
        <f t="shared" si="2"/>
        <v>53785</v>
      </c>
      <c r="AG15" s="10">
        <f t="shared" si="2"/>
        <v>149419</v>
      </c>
      <c r="AH15" s="10">
        <f t="shared" si="2"/>
        <v>290179</v>
      </c>
      <c r="AI15" s="10">
        <f t="shared" si="2"/>
        <v>769540</v>
      </c>
      <c r="AJ15" s="10">
        <f t="shared" si="2"/>
        <v>6484</v>
      </c>
      <c r="AK15" s="10">
        <f t="shared" si="2"/>
        <v>30561</v>
      </c>
      <c r="AL15" s="10">
        <f t="shared" si="2"/>
        <v>126028</v>
      </c>
      <c r="AM15" s="10">
        <f t="shared" si="2"/>
        <v>278564</v>
      </c>
      <c r="AN15" s="10">
        <f t="shared" si="2"/>
        <v>3554</v>
      </c>
      <c r="AO15" s="10">
        <f t="shared" si="2"/>
        <v>15157</v>
      </c>
      <c r="AP15" s="10">
        <f t="shared" si="2"/>
        <v>1115991</v>
      </c>
      <c r="AQ15" s="10">
        <f t="shared" si="2"/>
        <v>2651259.4556999989</v>
      </c>
      <c r="AR15" s="10">
        <f t="shared" si="2"/>
        <v>895056</v>
      </c>
      <c r="AS15" s="10">
        <f t="shared" si="2"/>
        <v>3454213</v>
      </c>
      <c r="AT15" s="10">
        <f t="shared" si="2"/>
        <v>-29840</v>
      </c>
      <c r="AU15" s="10">
        <f t="shared" si="2"/>
        <v>1032232</v>
      </c>
      <c r="AV15" s="10">
        <f t="shared" si="2"/>
        <v>5288</v>
      </c>
      <c r="AW15" s="10">
        <f t="shared" si="2"/>
        <v>10439</v>
      </c>
      <c r="AX15" s="10">
        <f t="shared" si="2"/>
        <v>411248</v>
      </c>
      <c r="AY15" s="10">
        <f t="shared" si="2"/>
        <v>1076614</v>
      </c>
      <c r="AZ15" s="10">
        <f t="shared" si="2"/>
        <v>0</v>
      </c>
      <c r="BA15" s="10">
        <f t="shared" si="2"/>
        <v>0</v>
      </c>
      <c r="BB15" s="10">
        <f t="shared" si="2"/>
        <v>35644</v>
      </c>
      <c r="BC15" s="10">
        <f t="shared" si="2"/>
        <v>102150</v>
      </c>
      <c r="BD15" s="10">
        <f t="shared" si="2"/>
        <v>505503</v>
      </c>
      <c r="BE15" s="10">
        <f t="shared" si="2"/>
        <v>1215142</v>
      </c>
      <c r="BF15" s="10">
        <f t="shared" si="2"/>
        <v>356060</v>
      </c>
      <c r="BG15" s="10">
        <f t="shared" si="2"/>
        <v>820407</v>
      </c>
      <c r="BH15" s="10">
        <f t="shared" si="2"/>
        <v>501239</v>
      </c>
      <c r="BI15" s="10">
        <f t="shared" si="2"/>
        <v>1621707</v>
      </c>
      <c r="BJ15" s="10">
        <f t="shared" si="2"/>
        <v>-380161</v>
      </c>
      <c r="BK15" s="10">
        <f t="shared" si="2"/>
        <v>-945505</v>
      </c>
      <c r="BL15" s="10">
        <f t="shared" si="2"/>
        <v>449834</v>
      </c>
      <c r="BM15" s="10">
        <f t="shared" si="2"/>
        <v>1360387</v>
      </c>
      <c r="BN15" s="10">
        <f t="shared" si="2"/>
        <v>1058911</v>
      </c>
      <c r="BO15" s="10">
        <f t="shared" ref="BO15:BQ15" si="3">BO18-BO17-BO16-BO14-BO13-BO12-BO11-BO10-BO9-BO8-BO7-BO6-BO5</f>
        <v>3055851</v>
      </c>
      <c r="BP15" s="10">
        <f t="shared" si="3"/>
        <v>67198</v>
      </c>
      <c r="BQ15" s="10">
        <f t="shared" si="3"/>
        <v>179340</v>
      </c>
      <c r="BR15" s="85">
        <f t="shared" si="0"/>
        <v>13575760.050000001</v>
      </c>
      <c r="BS15" s="85">
        <f t="shared" si="1"/>
        <v>40846898.8257</v>
      </c>
    </row>
    <row r="16" spans="1:71" x14ac:dyDescent="0.25">
      <c r="A16" s="26" t="s">
        <v>226</v>
      </c>
      <c r="B16" s="10">
        <v>9283</v>
      </c>
      <c r="C16" s="10">
        <v>27410</v>
      </c>
      <c r="D16" s="10">
        <v>50721</v>
      </c>
      <c r="E16" s="10">
        <v>137735</v>
      </c>
      <c r="F16" s="10">
        <v>63119</v>
      </c>
      <c r="G16" s="10">
        <v>245825</v>
      </c>
      <c r="H16" s="10">
        <v>36566</v>
      </c>
      <c r="I16" s="10">
        <v>107785</v>
      </c>
      <c r="J16" s="10">
        <v>132387</v>
      </c>
      <c r="K16" s="10">
        <v>367717</v>
      </c>
      <c r="L16" s="10">
        <v>22802</v>
      </c>
      <c r="M16" s="10">
        <v>69277</v>
      </c>
      <c r="N16" s="10">
        <v>59376</v>
      </c>
      <c r="O16" s="10">
        <v>173678</v>
      </c>
      <c r="P16" s="10">
        <v>31185</v>
      </c>
      <c r="Q16" s="10">
        <v>90906</v>
      </c>
      <c r="R16" s="10">
        <v>7298</v>
      </c>
      <c r="S16" s="10">
        <v>21476</v>
      </c>
      <c r="T16" s="10">
        <v>11248.06</v>
      </c>
      <c r="U16" s="10">
        <v>34421.53</v>
      </c>
      <c r="V16" s="10"/>
      <c r="W16" s="10"/>
      <c r="X16" s="10">
        <v>15785</v>
      </c>
      <c r="Y16" s="10">
        <v>42688</v>
      </c>
      <c r="Z16" s="10">
        <v>99466</v>
      </c>
      <c r="AA16" s="10">
        <v>278998</v>
      </c>
      <c r="AB16" s="10">
        <v>264735</v>
      </c>
      <c r="AC16" s="10">
        <v>580998</v>
      </c>
      <c r="AD16" s="10">
        <v>57509</v>
      </c>
      <c r="AE16" s="10">
        <v>176833</v>
      </c>
      <c r="AF16" s="10">
        <v>10951</v>
      </c>
      <c r="AG16" s="10">
        <v>31162</v>
      </c>
      <c r="AH16" s="10">
        <v>45086</v>
      </c>
      <c r="AI16" s="10">
        <v>129567</v>
      </c>
      <c r="AJ16" s="89">
        <v>1621</v>
      </c>
      <c r="AK16" s="10">
        <v>5350</v>
      </c>
      <c r="AL16" s="10">
        <v>12310</v>
      </c>
      <c r="AM16" s="10">
        <v>35951</v>
      </c>
      <c r="AN16" s="10">
        <v>50502</v>
      </c>
      <c r="AO16" s="10">
        <v>135338</v>
      </c>
      <c r="AP16" s="10">
        <v>174376</v>
      </c>
      <c r="AQ16" s="10">
        <v>597128</v>
      </c>
      <c r="AR16" s="10">
        <v>209016</v>
      </c>
      <c r="AS16" s="10">
        <v>704205</v>
      </c>
      <c r="AT16" s="10">
        <v>149866</v>
      </c>
      <c r="AU16" s="10">
        <v>370141</v>
      </c>
      <c r="AV16" s="10">
        <v>3914</v>
      </c>
      <c r="AW16" s="10">
        <v>10096</v>
      </c>
      <c r="AX16" s="10">
        <v>35216</v>
      </c>
      <c r="AY16" s="10">
        <v>121244</v>
      </c>
      <c r="AZ16" s="10"/>
      <c r="BA16" s="10"/>
      <c r="BB16" s="10">
        <v>46435</v>
      </c>
      <c r="BC16" s="10">
        <v>133006</v>
      </c>
      <c r="BD16" s="10">
        <v>30730</v>
      </c>
      <c r="BE16" s="10">
        <v>91208</v>
      </c>
      <c r="BF16" s="10">
        <v>142394</v>
      </c>
      <c r="BG16" s="10">
        <v>378509</v>
      </c>
      <c r="BH16" s="10">
        <v>12579</v>
      </c>
      <c r="BI16" s="10">
        <v>37325</v>
      </c>
      <c r="BJ16" s="10">
        <v>75114</v>
      </c>
      <c r="BK16" s="10">
        <v>217363</v>
      </c>
      <c r="BL16" s="10">
        <v>92593</v>
      </c>
      <c r="BM16" s="10">
        <v>267920</v>
      </c>
      <c r="BN16" s="10">
        <v>138273</v>
      </c>
      <c r="BO16" s="10">
        <v>396116</v>
      </c>
      <c r="BP16" s="10">
        <v>30365</v>
      </c>
      <c r="BQ16" s="10">
        <v>88320</v>
      </c>
      <c r="BR16" s="85">
        <f t="shared" si="0"/>
        <v>2122821.06</v>
      </c>
      <c r="BS16" s="85">
        <f t="shared" si="1"/>
        <v>6105696.5300000003</v>
      </c>
    </row>
    <row r="17" spans="1:71" x14ac:dyDescent="0.25">
      <c r="A17" s="26" t="s">
        <v>227</v>
      </c>
      <c r="B17" s="10">
        <v>126</v>
      </c>
      <c r="C17" s="10">
        <v>6986</v>
      </c>
      <c r="D17" s="10"/>
      <c r="E17" s="10"/>
      <c r="F17" s="10"/>
      <c r="G17" s="10"/>
      <c r="H17" s="10">
        <v>3753</v>
      </c>
      <c r="I17" s="10">
        <v>8487</v>
      </c>
      <c r="J17" s="10">
        <v>101844</v>
      </c>
      <c r="K17" s="10">
        <v>157465</v>
      </c>
      <c r="L17" s="10"/>
      <c r="M17" s="10"/>
      <c r="N17" s="10"/>
      <c r="O17" s="10"/>
      <c r="P17" s="10">
        <v>965</v>
      </c>
      <c r="Q17" s="10">
        <v>2069</v>
      </c>
      <c r="R17" s="10">
        <v>273</v>
      </c>
      <c r="S17" s="10">
        <v>1752</v>
      </c>
      <c r="T17" s="10"/>
      <c r="U17" s="10"/>
      <c r="V17" s="10"/>
      <c r="W17" s="10"/>
      <c r="X17" s="10">
        <v>2618</v>
      </c>
      <c r="Y17" s="10">
        <v>4267</v>
      </c>
      <c r="Z17" s="10"/>
      <c r="AA17" s="10"/>
      <c r="AB17" s="10"/>
      <c r="AC17" s="10"/>
      <c r="AD17" s="10">
        <v>82709</v>
      </c>
      <c r="AE17" s="10">
        <v>106067</v>
      </c>
      <c r="AF17" s="10"/>
      <c r="AG17" s="10"/>
      <c r="AH17" s="10"/>
      <c r="AI17" s="10"/>
      <c r="AJ17" s="11"/>
      <c r="AK17" s="10"/>
      <c r="AL17" s="10"/>
      <c r="AM17" s="10"/>
      <c r="AN17" s="10">
        <v>-493</v>
      </c>
      <c r="AO17" s="10">
        <v>1704</v>
      </c>
      <c r="AP17" s="10">
        <v>29108</v>
      </c>
      <c r="AQ17" s="10">
        <v>167574</v>
      </c>
      <c r="AR17" s="10">
        <v>640687</v>
      </c>
      <c r="AS17" s="10">
        <v>1059894</v>
      </c>
      <c r="AT17" s="10">
        <v>0</v>
      </c>
      <c r="AU17" s="10">
        <v>0</v>
      </c>
      <c r="AV17" s="10"/>
      <c r="AW17" s="10"/>
      <c r="AX17" s="10"/>
      <c r="AY17" s="10"/>
      <c r="AZ17" s="10"/>
      <c r="BA17" s="10"/>
      <c r="BB17" s="10">
        <v>2756</v>
      </c>
      <c r="BC17" s="10">
        <v>6677</v>
      </c>
      <c r="BD17" s="10">
        <v>1238</v>
      </c>
      <c r="BE17" s="10">
        <v>3752</v>
      </c>
      <c r="BF17" s="10">
        <v>52791</v>
      </c>
      <c r="BG17" s="10">
        <v>98425</v>
      </c>
      <c r="BH17" s="10"/>
      <c r="BI17" s="10"/>
      <c r="BJ17" s="10"/>
      <c r="BK17" s="10"/>
      <c r="BL17" s="10">
        <v>9642</v>
      </c>
      <c r="BM17" s="10">
        <v>58344</v>
      </c>
      <c r="BN17" s="10"/>
      <c r="BO17" s="10"/>
      <c r="BP17" s="10">
        <v>142882</v>
      </c>
      <c r="BQ17" s="10">
        <v>286368</v>
      </c>
      <c r="BR17" s="85">
        <f t="shared" si="0"/>
        <v>1070899</v>
      </c>
      <c r="BS17" s="85">
        <f t="shared" si="1"/>
        <v>1969831</v>
      </c>
    </row>
    <row r="18" spans="1:71" s="8" customFormat="1" x14ac:dyDescent="0.25">
      <c r="A18" s="3" t="s">
        <v>55</v>
      </c>
      <c r="B18" s="11">
        <v>826603</v>
      </c>
      <c r="C18" s="11">
        <v>2279088</v>
      </c>
      <c r="D18" s="11">
        <v>1300949</v>
      </c>
      <c r="E18" s="11">
        <v>3331884</v>
      </c>
      <c r="F18" s="11">
        <v>506069</v>
      </c>
      <c r="G18" s="11">
        <v>1986198</v>
      </c>
      <c r="H18" s="11">
        <v>1448508</v>
      </c>
      <c r="I18" s="11">
        <v>4683396</v>
      </c>
      <c r="J18" s="11">
        <v>5901014</v>
      </c>
      <c r="K18" s="11">
        <v>17773237</v>
      </c>
      <c r="L18" s="11">
        <v>2020810</v>
      </c>
      <c r="M18" s="11">
        <v>5466172</v>
      </c>
      <c r="N18" s="11">
        <v>2618319</v>
      </c>
      <c r="O18" s="11">
        <v>7700030</v>
      </c>
      <c r="P18" s="11">
        <v>256218</v>
      </c>
      <c r="Q18" s="11">
        <v>903425</v>
      </c>
      <c r="R18" s="11">
        <v>228412</v>
      </c>
      <c r="S18" s="11">
        <v>595559</v>
      </c>
      <c r="T18" s="11">
        <v>446161.19</v>
      </c>
      <c r="U18" s="11">
        <v>1608302.71</v>
      </c>
      <c r="V18" s="11"/>
      <c r="W18" s="11"/>
      <c r="X18" s="11">
        <v>1892561</v>
      </c>
      <c r="Y18" s="11">
        <v>5229098</v>
      </c>
      <c r="Z18" s="11">
        <v>3570652</v>
      </c>
      <c r="AA18" s="11">
        <v>10431256</v>
      </c>
      <c r="AB18" s="11">
        <v>6407238</v>
      </c>
      <c r="AC18" s="11">
        <v>17284399</v>
      </c>
      <c r="AD18" s="11">
        <v>1948959</v>
      </c>
      <c r="AE18" s="11">
        <v>5319378</v>
      </c>
      <c r="AF18" s="11">
        <v>340674</v>
      </c>
      <c r="AG18" s="11">
        <v>956874</v>
      </c>
      <c r="AH18" s="11">
        <v>1272800</v>
      </c>
      <c r="AI18" s="11">
        <v>3568347</v>
      </c>
      <c r="AJ18" s="11">
        <v>91751</v>
      </c>
      <c r="AK18" s="11">
        <v>301578</v>
      </c>
      <c r="AL18" s="11">
        <v>813811</v>
      </c>
      <c r="AM18" s="11">
        <v>2155764</v>
      </c>
      <c r="AN18" s="11">
        <v>986046</v>
      </c>
      <c r="AO18" s="11">
        <v>2850880</v>
      </c>
      <c r="AP18" s="11">
        <v>11134331</v>
      </c>
      <c r="AQ18" s="11">
        <v>25585113.455699999</v>
      </c>
      <c r="AR18" s="11">
        <v>9814342</v>
      </c>
      <c r="AS18" s="11">
        <v>28562006</v>
      </c>
      <c r="AT18" s="11">
        <v>7396685</v>
      </c>
      <c r="AU18" s="11">
        <v>19724807</v>
      </c>
      <c r="AV18" s="11">
        <v>209768</v>
      </c>
      <c r="AW18" s="11">
        <v>595369</v>
      </c>
      <c r="AX18" s="11">
        <v>3132617</v>
      </c>
      <c r="AY18" s="11">
        <v>10043065</v>
      </c>
      <c r="AZ18" s="11"/>
      <c r="BA18" s="11"/>
      <c r="BB18" s="11">
        <v>1794940</v>
      </c>
      <c r="BC18" s="11">
        <v>4667679</v>
      </c>
      <c r="BD18" s="11">
        <v>1178194</v>
      </c>
      <c r="BE18" s="11">
        <v>3335188</v>
      </c>
      <c r="BF18" s="11">
        <v>2310925</v>
      </c>
      <c r="BG18" s="11">
        <v>6110466</v>
      </c>
      <c r="BH18" s="11">
        <v>1225687</v>
      </c>
      <c r="BI18" s="11">
        <v>3298607</v>
      </c>
      <c r="BJ18" s="11">
        <v>2330007</v>
      </c>
      <c r="BK18" s="11">
        <v>7284700</v>
      </c>
      <c r="BL18" s="11">
        <v>3700507</v>
      </c>
      <c r="BM18" s="11">
        <v>12529330</v>
      </c>
      <c r="BN18" s="11">
        <v>11589118</v>
      </c>
      <c r="BO18" s="11">
        <v>23581094</v>
      </c>
      <c r="BP18" s="11">
        <v>762384</v>
      </c>
      <c r="BQ18" s="11">
        <v>1893540</v>
      </c>
      <c r="BR18" s="79">
        <f t="shared" si="0"/>
        <v>89457060.189999998</v>
      </c>
      <c r="BS18" s="79">
        <f t="shared" si="1"/>
        <v>241635830.16570002</v>
      </c>
    </row>
  </sheetData>
  <mergeCells count="35">
    <mergeCell ref="BJ3:BK3"/>
    <mergeCell ref="BL3:BM3"/>
    <mergeCell ref="BN3:BO3"/>
    <mergeCell ref="BP3:BQ3"/>
    <mergeCell ref="BR3:BS3"/>
    <mergeCell ref="BH3:BI3"/>
    <mergeCell ref="AL3:AM3"/>
    <mergeCell ref="AN3:AO3"/>
    <mergeCell ref="AP3:AQ3"/>
    <mergeCell ref="AR3:AS3"/>
    <mergeCell ref="AT3:AU3"/>
    <mergeCell ref="AV3:AW3"/>
    <mergeCell ref="AX3:AY3"/>
    <mergeCell ref="AZ3:BA3"/>
    <mergeCell ref="BB3:BC3"/>
    <mergeCell ref="BD3:BE3"/>
    <mergeCell ref="BF3:BG3"/>
    <mergeCell ref="AJ3:AK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L3:M3"/>
    <mergeCell ref="B3:C3"/>
    <mergeCell ref="D3:E3"/>
    <mergeCell ref="F3:G3"/>
    <mergeCell ref="H3:I3"/>
    <mergeCell ref="J3:K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7" customWidth="1"/>
    <col min="2" max="35" width="16" style="7" customWidth="1"/>
    <col min="36" max="36" width="16" style="8" customWidth="1"/>
    <col min="37" max="16384" width="9.140625" style="7"/>
  </cols>
  <sheetData>
    <row r="1" spans="1:36" ht="18.75" x14ac:dyDescent="0.3">
      <c r="A1" s="9" t="s">
        <v>298</v>
      </c>
    </row>
    <row r="2" spans="1:36" x14ac:dyDescent="0.25">
      <c r="A2" s="7" t="s">
        <v>47</v>
      </c>
    </row>
    <row r="3" spans="1:36" x14ac:dyDescent="0.25">
      <c r="A3" s="1" t="s">
        <v>0</v>
      </c>
      <c r="B3" s="92" t="s">
        <v>1</v>
      </c>
      <c r="C3" s="92" t="s">
        <v>2</v>
      </c>
      <c r="D3" s="92" t="s">
        <v>3</v>
      </c>
      <c r="E3" s="92" t="s">
        <v>309</v>
      </c>
      <c r="F3" s="92" t="s">
        <v>5</v>
      </c>
      <c r="G3" s="92" t="s">
        <v>6</v>
      </c>
      <c r="H3" s="92" t="s">
        <v>7</v>
      </c>
      <c r="I3" s="92" t="s">
        <v>8</v>
      </c>
      <c r="J3" s="92" t="s">
        <v>9</v>
      </c>
      <c r="K3" s="92" t="s">
        <v>10</v>
      </c>
      <c r="L3" s="92" t="s">
        <v>11</v>
      </c>
      <c r="M3" s="92" t="s">
        <v>12</v>
      </c>
      <c r="N3" s="92" t="s">
        <v>13</v>
      </c>
      <c r="O3" s="92" t="s">
        <v>14</v>
      </c>
      <c r="P3" s="92" t="s">
        <v>15</v>
      </c>
      <c r="Q3" s="92" t="s">
        <v>16</v>
      </c>
      <c r="R3" s="92" t="s">
        <v>17</v>
      </c>
      <c r="S3" s="92" t="s">
        <v>18</v>
      </c>
      <c r="T3" s="92" t="s">
        <v>296</v>
      </c>
      <c r="U3" s="92" t="s">
        <v>19</v>
      </c>
      <c r="V3" s="92" t="s">
        <v>20</v>
      </c>
      <c r="W3" s="92" t="s">
        <v>21</v>
      </c>
      <c r="X3" s="92" t="s">
        <v>22</v>
      </c>
      <c r="Y3" s="92" t="s">
        <v>23</v>
      </c>
      <c r="Z3" s="92" t="s">
        <v>24</v>
      </c>
      <c r="AA3" s="92" t="s">
        <v>25</v>
      </c>
      <c r="AB3" s="92" t="s">
        <v>26</v>
      </c>
      <c r="AC3" s="92" t="s">
        <v>27</v>
      </c>
      <c r="AD3" s="92" t="s">
        <v>28</v>
      </c>
      <c r="AE3" s="92" t="s">
        <v>29</v>
      </c>
      <c r="AF3" s="92" t="s">
        <v>30</v>
      </c>
      <c r="AG3" s="92" t="s">
        <v>31</v>
      </c>
      <c r="AH3" s="91" t="s">
        <v>32</v>
      </c>
      <c r="AI3" s="92" t="s">
        <v>33</v>
      </c>
      <c r="AJ3" s="90" t="s">
        <v>34</v>
      </c>
    </row>
    <row r="4" spans="1:36" x14ac:dyDescent="0.25">
      <c r="A4" s="10" t="s">
        <v>48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>
        <v>575</v>
      </c>
      <c r="X4" s="10">
        <v>2565</v>
      </c>
      <c r="Y4" s="10"/>
      <c r="Z4" s="10"/>
      <c r="AA4" s="10"/>
      <c r="AB4" s="10"/>
      <c r="AC4" s="10"/>
      <c r="AD4" s="10"/>
      <c r="AE4" s="10"/>
      <c r="AF4" s="10"/>
      <c r="AG4" s="10"/>
      <c r="AH4" s="10">
        <v>13589</v>
      </c>
      <c r="AI4" s="10"/>
      <c r="AJ4" s="80">
        <f>SUM(B4:AI4)</f>
        <v>16729</v>
      </c>
    </row>
    <row r="5" spans="1:36" x14ac:dyDescent="0.25">
      <c r="A5" s="10" t="s">
        <v>49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80">
        <f t="shared" ref="AJ5:AJ11" si="0">SUM(B5:AI5)</f>
        <v>0</v>
      </c>
    </row>
    <row r="6" spans="1:36" x14ac:dyDescent="0.25">
      <c r="A6" s="10" t="s">
        <v>50</v>
      </c>
      <c r="B6" s="10"/>
      <c r="C6" s="10">
        <v>7462661</v>
      </c>
      <c r="D6" s="10"/>
      <c r="E6" s="10">
        <f>2597967+2919322</f>
        <v>5517289</v>
      </c>
      <c r="F6" s="10">
        <v>1666197</v>
      </c>
      <c r="G6" s="10">
        <v>1720185</v>
      </c>
      <c r="H6" s="10">
        <v>1432645</v>
      </c>
      <c r="I6" s="10"/>
      <c r="J6" s="10"/>
      <c r="K6" s="10"/>
      <c r="L6" s="10"/>
      <c r="M6" s="10">
        <v>2604348</v>
      </c>
      <c r="N6" s="10">
        <v>8440482</v>
      </c>
      <c r="O6" s="10">
        <v>15724367</v>
      </c>
      <c r="P6" s="10">
        <v>4519821</v>
      </c>
      <c r="Q6" s="10"/>
      <c r="R6" s="10">
        <v>6483749</v>
      </c>
      <c r="S6" s="10">
        <v>2381367</v>
      </c>
      <c r="T6" s="10">
        <v>3286877</v>
      </c>
      <c r="U6" s="10"/>
      <c r="V6" s="10"/>
      <c r="W6" s="10">
        <v>18908542</v>
      </c>
      <c r="X6" s="10"/>
      <c r="Y6" s="10"/>
      <c r="Z6" s="10">
        <v>7667050</v>
      </c>
      <c r="AA6" s="10"/>
      <c r="AB6" s="10">
        <v>191306</v>
      </c>
      <c r="AC6" s="10">
        <v>2550000</v>
      </c>
      <c r="AD6" s="10">
        <v>13326000</v>
      </c>
      <c r="AE6" s="10">
        <v>1968</v>
      </c>
      <c r="AF6" s="10">
        <v>8975143</v>
      </c>
      <c r="AG6" s="10">
        <v>4705428</v>
      </c>
      <c r="AH6" s="10"/>
      <c r="AI6" s="10">
        <v>1676182</v>
      </c>
      <c r="AJ6" s="80">
        <f t="shared" si="0"/>
        <v>119241607</v>
      </c>
    </row>
    <row r="7" spans="1:36" x14ac:dyDescent="0.25">
      <c r="A7" s="10" t="s">
        <v>51</v>
      </c>
      <c r="B7" s="10"/>
      <c r="C7" s="10"/>
      <c r="D7" s="10">
        <v>37670953</v>
      </c>
      <c r="E7" s="10"/>
      <c r="F7" s="10"/>
      <c r="G7" s="10"/>
      <c r="H7" s="10">
        <v>5347567</v>
      </c>
      <c r="I7" s="10"/>
      <c r="J7" s="10"/>
      <c r="K7" s="10">
        <v>-23310782.899999999</v>
      </c>
      <c r="L7" s="10"/>
      <c r="M7" s="10"/>
      <c r="N7" s="10"/>
      <c r="O7" s="10">
        <v>333642</v>
      </c>
      <c r="P7" s="10"/>
      <c r="Q7" s="10"/>
      <c r="R7" s="10"/>
      <c r="S7" s="10"/>
      <c r="T7" s="10"/>
      <c r="U7" s="10"/>
      <c r="V7" s="10"/>
      <c r="W7" s="10">
        <v>128891033</v>
      </c>
      <c r="X7" s="10">
        <f>26627713-3883759</f>
        <v>22743954</v>
      </c>
      <c r="Y7" s="10"/>
      <c r="Z7" s="10"/>
      <c r="AA7" s="10"/>
      <c r="AB7" s="10"/>
      <c r="AC7" s="10"/>
      <c r="AD7" s="10"/>
      <c r="AE7" s="10"/>
      <c r="AF7" s="10"/>
      <c r="AG7" s="10">
        <v>151237</v>
      </c>
      <c r="AH7" s="10">
        <v>13726125</v>
      </c>
      <c r="AI7" s="10"/>
      <c r="AJ7" s="80">
        <f t="shared" si="0"/>
        <v>185553728.09999999</v>
      </c>
    </row>
    <row r="8" spans="1:36" x14ac:dyDescent="0.25">
      <c r="A8" s="10" t="s">
        <v>52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>
        <v>1166</v>
      </c>
      <c r="Q8" s="10"/>
      <c r="R8" s="10"/>
      <c r="S8" s="10"/>
      <c r="T8" s="10"/>
      <c r="U8" s="10"/>
      <c r="V8" s="10">
        <v>16579</v>
      </c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80">
        <f t="shared" si="0"/>
        <v>17745</v>
      </c>
    </row>
    <row r="9" spans="1:36" x14ac:dyDescent="0.25">
      <c r="A9" s="10" t="s">
        <v>53</v>
      </c>
      <c r="B9" s="10">
        <f>B11-B10-B8-B7-B6-B5-B4</f>
        <v>0</v>
      </c>
      <c r="C9" s="10">
        <f t="shared" ref="C9:AI9" si="1">C11-C10-C8-C7-C6-C5-C4</f>
        <v>0</v>
      </c>
      <c r="D9" s="10">
        <f t="shared" si="1"/>
        <v>0</v>
      </c>
      <c r="E9" s="10">
        <f t="shared" si="1"/>
        <v>40568</v>
      </c>
      <c r="F9" s="10">
        <f t="shared" si="1"/>
        <v>0</v>
      </c>
      <c r="G9" s="10">
        <f t="shared" si="1"/>
        <v>0</v>
      </c>
      <c r="H9" s="10">
        <f t="shared" si="1"/>
        <v>200000</v>
      </c>
      <c r="I9" s="10">
        <f t="shared" si="1"/>
        <v>0</v>
      </c>
      <c r="J9" s="10">
        <f t="shared" si="1"/>
        <v>0</v>
      </c>
      <c r="K9" s="10">
        <f t="shared" si="1"/>
        <v>47221565.799999997</v>
      </c>
      <c r="L9" s="10">
        <f t="shared" si="1"/>
        <v>0</v>
      </c>
      <c r="M9" s="10">
        <f t="shared" si="1"/>
        <v>65769</v>
      </c>
      <c r="N9" s="10">
        <f t="shared" si="1"/>
        <v>315900</v>
      </c>
      <c r="O9" s="10">
        <f t="shared" si="1"/>
        <v>277144</v>
      </c>
      <c r="P9" s="10">
        <f t="shared" si="1"/>
        <v>0</v>
      </c>
      <c r="Q9" s="10">
        <f t="shared" si="1"/>
        <v>0</v>
      </c>
      <c r="R9" s="10">
        <f t="shared" si="1"/>
        <v>0</v>
      </c>
      <c r="S9" s="10">
        <f t="shared" si="1"/>
        <v>0</v>
      </c>
      <c r="T9" s="10">
        <f t="shared" si="1"/>
        <v>0</v>
      </c>
      <c r="U9" s="10">
        <f t="shared" si="1"/>
        <v>0</v>
      </c>
      <c r="V9" s="10">
        <f t="shared" si="1"/>
        <v>140811</v>
      </c>
      <c r="W9" s="10">
        <f t="shared" si="1"/>
        <v>15946151</v>
      </c>
      <c r="X9" s="10">
        <f t="shared" si="1"/>
        <v>0</v>
      </c>
      <c r="Y9" s="10">
        <f t="shared" si="1"/>
        <v>0</v>
      </c>
      <c r="Z9" s="10">
        <f t="shared" si="1"/>
        <v>207639</v>
      </c>
      <c r="AA9" s="10">
        <f t="shared" si="1"/>
        <v>0</v>
      </c>
      <c r="AB9" s="10">
        <f t="shared" si="1"/>
        <v>327464</v>
      </c>
      <c r="AC9" s="10">
        <f t="shared" si="1"/>
        <v>0</v>
      </c>
      <c r="AD9" s="10">
        <f t="shared" si="1"/>
        <v>0</v>
      </c>
      <c r="AE9" s="10">
        <f t="shared" si="1"/>
        <v>0</v>
      </c>
      <c r="AF9" s="10">
        <f t="shared" si="1"/>
        <v>125000</v>
      </c>
      <c r="AG9" s="10">
        <f t="shared" si="1"/>
        <v>445000</v>
      </c>
      <c r="AH9" s="10">
        <f t="shared" si="1"/>
        <v>176496</v>
      </c>
      <c r="AI9" s="10">
        <f t="shared" si="1"/>
        <v>0</v>
      </c>
      <c r="AJ9" s="80">
        <f t="shared" si="0"/>
        <v>65489507.799999997</v>
      </c>
    </row>
    <row r="10" spans="1:36" x14ac:dyDescent="0.25">
      <c r="A10" s="10" t="s">
        <v>54</v>
      </c>
      <c r="B10" s="10"/>
      <c r="C10" s="10"/>
      <c r="D10" s="10">
        <v>1117739</v>
      </c>
      <c r="E10" s="10"/>
      <c r="F10" s="10">
        <v>53707469</v>
      </c>
      <c r="G10" s="10"/>
      <c r="H10" s="10">
        <v>5445903</v>
      </c>
      <c r="I10" s="10"/>
      <c r="J10" s="10"/>
      <c r="K10" s="10">
        <v>4209191.9400000004</v>
      </c>
      <c r="L10" s="10">
        <v>557372</v>
      </c>
      <c r="M10" s="10"/>
      <c r="N10" s="10">
        <v>7993736</v>
      </c>
      <c r="O10" s="10">
        <v>37633327</v>
      </c>
      <c r="P10" s="10">
        <v>17121258</v>
      </c>
      <c r="Q10" s="10"/>
      <c r="R10" s="10"/>
      <c r="S10" s="10"/>
      <c r="T10" s="10"/>
      <c r="U10" s="10"/>
      <c r="V10" s="10"/>
      <c r="W10" s="10"/>
      <c r="X10" s="10"/>
      <c r="Y10" s="10"/>
      <c r="Z10" s="10">
        <v>7340455</v>
      </c>
      <c r="AA10" s="10"/>
      <c r="AB10" s="10"/>
      <c r="AC10" s="10">
        <v>4608362</v>
      </c>
      <c r="AD10" s="10">
        <v>5308613</v>
      </c>
      <c r="AE10" s="10">
        <v>16692451</v>
      </c>
      <c r="AF10" s="10"/>
      <c r="AG10" s="10">
        <v>9725533</v>
      </c>
      <c r="AH10" s="10">
        <v>450000</v>
      </c>
      <c r="AI10" s="10">
        <v>3918600</v>
      </c>
      <c r="AJ10" s="80">
        <f t="shared" si="0"/>
        <v>175830009.94</v>
      </c>
    </row>
    <row r="11" spans="1:36" s="8" customFormat="1" x14ac:dyDescent="0.25">
      <c r="A11" s="11" t="s">
        <v>55</v>
      </c>
      <c r="B11" s="11"/>
      <c r="C11" s="11">
        <v>7462661</v>
      </c>
      <c r="D11" s="11">
        <v>38788692</v>
      </c>
      <c r="E11" s="11">
        <v>5557857</v>
      </c>
      <c r="F11" s="11">
        <v>55373666</v>
      </c>
      <c r="G11" s="11">
        <v>1720185</v>
      </c>
      <c r="H11" s="11">
        <v>12426115</v>
      </c>
      <c r="I11" s="11"/>
      <c r="J11" s="11"/>
      <c r="K11" s="11">
        <v>28119974.84</v>
      </c>
      <c r="L11" s="11">
        <v>557372</v>
      </c>
      <c r="M11" s="11">
        <v>2670117</v>
      </c>
      <c r="N11" s="11">
        <v>16750118</v>
      </c>
      <c r="O11" s="11">
        <v>53968480</v>
      </c>
      <c r="P11" s="11">
        <v>21642245</v>
      </c>
      <c r="Q11" s="11"/>
      <c r="R11" s="11">
        <v>6483749</v>
      </c>
      <c r="S11" s="11">
        <v>2381367</v>
      </c>
      <c r="T11" s="11">
        <v>3286877</v>
      </c>
      <c r="U11" s="11"/>
      <c r="V11" s="11">
        <v>157390</v>
      </c>
      <c r="W11" s="11">
        <v>163746301</v>
      </c>
      <c r="X11" s="11">
        <v>22746519</v>
      </c>
      <c r="Y11" s="11"/>
      <c r="Z11" s="11">
        <v>15215144</v>
      </c>
      <c r="AA11" s="11"/>
      <c r="AB11" s="11">
        <v>518770</v>
      </c>
      <c r="AC11" s="11">
        <v>7158362</v>
      </c>
      <c r="AD11" s="11">
        <v>18634613</v>
      </c>
      <c r="AE11" s="11">
        <v>16694419</v>
      </c>
      <c r="AF11" s="11">
        <v>9100143</v>
      </c>
      <c r="AG11" s="11">
        <v>15027198</v>
      </c>
      <c r="AH11" s="11">
        <v>14366210</v>
      </c>
      <c r="AI11" s="11">
        <v>5594782</v>
      </c>
      <c r="AJ11" s="79">
        <f t="shared" si="0"/>
        <v>546149326.84000003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37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42.28515625" style="57" customWidth="1"/>
    <col min="2" max="103" width="14.28515625" style="57" customWidth="1"/>
    <col min="104" max="16384" width="9.140625" style="57"/>
  </cols>
  <sheetData>
    <row r="1" spans="1:103" ht="18.75" x14ac:dyDescent="0.3">
      <c r="A1" s="56" t="s">
        <v>299</v>
      </c>
    </row>
    <row r="2" spans="1:103" x14ac:dyDescent="0.25">
      <c r="A2" s="58" t="s">
        <v>47</v>
      </c>
    </row>
    <row r="3" spans="1:103" x14ac:dyDescent="0.25">
      <c r="A3" s="113" t="s">
        <v>0</v>
      </c>
      <c r="B3" s="114" t="s">
        <v>1</v>
      </c>
      <c r="C3" s="114"/>
      <c r="D3" s="114"/>
      <c r="E3" s="114" t="s">
        <v>2</v>
      </c>
      <c r="F3" s="114"/>
      <c r="G3" s="114"/>
      <c r="H3" s="114" t="s">
        <v>3</v>
      </c>
      <c r="I3" s="114"/>
      <c r="J3" s="114"/>
      <c r="K3" s="114" t="s">
        <v>307</v>
      </c>
      <c r="L3" s="114"/>
      <c r="M3" s="114"/>
      <c r="N3" s="114" t="s">
        <v>5</v>
      </c>
      <c r="O3" s="114"/>
      <c r="P3" s="114"/>
      <c r="Q3" s="114" t="s">
        <v>6</v>
      </c>
      <c r="R3" s="114"/>
      <c r="S3" s="114"/>
      <c r="T3" s="114" t="s">
        <v>7</v>
      </c>
      <c r="U3" s="114"/>
      <c r="V3" s="114"/>
      <c r="W3" s="114" t="s">
        <v>8</v>
      </c>
      <c r="X3" s="114"/>
      <c r="Y3" s="114"/>
      <c r="Z3" s="114" t="s">
        <v>9</v>
      </c>
      <c r="AA3" s="114"/>
      <c r="AB3" s="114"/>
      <c r="AC3" s="114" t="s">
        <v>10</v>
      </c>
      <c r="AD3" s="114"/>
      <c r="AE3" s="114"/>
      <c r="AF3" s="114" t="s">
        <v>11</v>
      </c>
      <c r="AG3" s="114"/>
      <c r="AH3" s="114"/>
      <c r="AI3" s="114" t="s">
        <v>12</v>
      </c>
      <c r="AJ3" s="114"/>
      <c r="AK3" s="114"/>
      <c r="AL3" s="114" t="s">
        <v>13</v>
      </c>
      <c r="AM3" s="114"/>
      <c r="AN3" s="114"/>
      <c r="AO3" s="114" t="s">
        <v>14</v>
      </c>
      <c r="AP3" s="114"/>
      <c r="AQ3" s="114"/>
      <c r="AR3" s="114" t="s">
        <v>15</v>
      </c>
      <c r="AS3" s="114"/>
      <c r="AT3" s="114"/>
      <c r="AU3" s="114" t="s">
        <v>16</v>
      </c>
      <c r="AV3" s="114"/>
      <c r="AW3" s="114"/>
      <c r="AX3" s="114" t="s">
        <v>17</v>
      </c>
      <c r="AY3" s="114"/>
      <c r="AZ3" s="114"/>
      <c r="BA3" s="114" t="s">
        <v>18</v>
      </c>
      <c r="BB3" s="114"/>
      <c r="BC3" s="114"/>
      <c r="BD3" s="114" t="s">
        <v>296</v>
      </c>
      <c r="BE3" s="114"/>
      <c r="BF3" s="114"/>
      <c r="BG3" s="114" t="s">
        <v>19</v>
      </c>
      <c r="BH3" s="114"/>
      <c r="BI3" s="114"/>
      <c r="BJ3" s="114" t="s">
        <v>20</v>
      </c>
      <c r="BK3" s="114"/>
      <c r="BL3" s="114"/>
      <c r="BM3" s="114" t="s">
        <v>21</v>
      </c>
      <c r="BN3" s="114"/>
      <c r="BO3" s="114"/>
      <c r="BP3" s="114" t="s">
        <v>22</v>
      </c>
      <c r="BQ3" s="114"/>
      <c r="BR3" s="114"/>
      <c r="BS3" s="114" t="s">
        <v>23</v>
      </c>
      <c r="BT3" s="114"/>
      <c r="BU3" s="114"/>
      <c r="BV3" s="114" t="s">
        <v>24</v>
      </c>
      <c r="BW3" s="114"/>
      <c r="BX3" s="114"/>
      <c r="BY3" s="114" t="s">
        <v>25</v>
      </c>
      <c r="BZ3" s="114"/>
      <c r="CA3" s="114"/>
      <c r="CB3" s="114" t="s">
        <v>26</v>
      </c>
      <c r="CC3" s="114"/>
      <c r="CD3" s="114"/>
      <c r="CE3" s="114" t="s">
        <v>27</v>
      </c>
      <c r="CF3" s="114"/>
      <c r="CG3" s="114"/>
      <c r="CH3" s="114" t="s">
        <v>28</v>
      </c>
      <c r="CI3" s="114"/>
      <c r="CJ3" s="114"/>
      <c r="CK3" s="114" t="s">
        <v>29</v>
      </c>
      <c r="CL3" s="114"/>
      <c r="CM3" s="114"/>
      <c r="CN3" s="114" t="s">
        <v>30</v>
      </c>
      <c r="CO3" s="114"/>
      <c r="CP3" s="114"/>
      <c r="CQ3" s="114" t="s">
        <v>31</v>
      </c>
      <c r="CR3" s="114"/>
      <c r="CS3" s="114"/>
      <c r="CT3" s="114" t="s">
        <v>32</v>
      </c>
      <c r="CU3" s="114"/>
      <c r="CV3" s="114"/>
      <c r="CW3" s="114" t="s">
        <v>33</v>
      </c>
      <c r="CX3" s="114"/>
      <c r="CY3" s="114"/>
    </row>
    <row r="4" spans="1:103" x14ac:dyDescent="0.25">
      <c r="A4" s="113"/>
      <c r="B4" s="45" t="s">
        <v>191</v>
      </c>
      <c r="C4" s="45" t="s">
        <v>192</v>
      </c>
      <c r="D4" s="45" t="s">
        <v>163</v>
      </c>
      <c r="E4" s="45" t="s">
        <v>191</v>
      </c>
      <c r="F4" s="45" t="s">
        <v>192</v>
      </c>
      <c r="G4" s="45" t="s">
        <v>163</v>
      </c>
      <c r="H4" s="45" t="s">
        <v>191</v>
      </c>
      <c r="I4" s="45" t="s">
        <v>192</v>
      </c>
      <c r="J4" s="45" t="s">
        <v>163</v>
      </c>
      <c r="K4" s="45" t="s">
        <v>191</v>
      </c>
      <c r="L4" s="45" t="s">
        <v>192</v>
      </c>
      <c r="M4" s="45" t="s">
        <v>163</v>
      </c>
      <c r="N4" s="45" t="s">
        <v>191</v>
      </c>
      <c r="O4" s="45" t="s">
        <v>192</v>
      </c>
      <c r="P4" s="45" t="s">
        <v>163</v>
      </c>
      <c r="Q4" s="45" t="s">
        <v>191</v>
      </c>
      <c r="R4" s="45" t="s">
        <v>192</v>
      </c>
      <c r="S4" s="45" t="s">
        <v>163</v>
      </c>
      <c r="T4" s="45" t="s">
        <v>191</v>
      </c>
      <c r="U4" s="45" t="s">
        <v>192</v>
      </c>
      <c r="V4" s="45" t="s">
        <v>163</v>
      </c>
      <c r="W4" s="45" t="s">
        <v>191</v>
      </c>
      <c r="X4" s="45" t="s">
        <v>192</v>
      </c>
      <c r="Y4" s="45" t="s">
        <v>163</v>
      </c>
      <c r="Z4" s="45" t="s">
        <v>191</v>
      </c>
      <c r="AA4" s="45" t="s">
        <v>192</v>
      </c>
      <c r="AB4" s="45" t="s">
        <v>163</v>
      </c>
      <c r="AC4" s="45" t="s">
        <v>191</v>
      </c>
      <c r="AD4" s="45" t="s">
        <v>192</v>
      </c>
      <c r="AE4" s="45" t="s">
        <v>163</v>
      </c>
      <c r="AF4" s="45" t="s">
        <v>191</v>
      </c>
      <c r="AG4" s="45" t="s">
        <v>192</v>
      </c>
      <c r="AH4" s="45" t="s">
        <v>163</v>
      </c>
      <c r="AI4" s="45" t="s">
        <v>191</v>
      </c>
      <c r="AJ4" s="45" t="s">
        <v>192</v>
      </c>
      <c r="AK4" s="45" t="s">
        <v>163</v>
      </c>
      <c r="AL4" s="45" t="s">
        <v>191</v>
      </c>
      <c r="AM4" s="45" t="s">
        <v>192</v>
      </c>
      <c r="AN4" s="45" t="s">
        <v>163</v>
      </c>
      <c r="AO4" s="45" t="s">
        <v>191</v>
      </c>
      <c r="AP4" s="45" t="s">
        <v>192</v>
      </c>
      <c r="AQ4" s="45" t="s">
        <v>163</v>
      </c>
      <c r="AR4" s="45" t="s">
        <v>191</v>
      </c>
      <c r="AS4" s="45" t="s">
        <v>192</v>
      </c>
      <c r="AT4" s="45" t="s">
        <v>163</v>
      </c>
      <c r="AU4" s="45" t="s">
        <v>191</v>
      </c>
      <c r="AV4" s="45" t="s">
        <v>192</v>
      </c>
      <c r="AW4" s="45" t="s">
        <v>163</v>
      </c>
      <c r="AX4" s="45" t="s">
        <v>191</v>
      </c>
      <c r="AY4" s="45" t="s">
        <v>192</v>
      </c>
      <c r="AZ4" s="45" t="s">
        <v>163</v>
      </c>
      <c r="BA4" s="45" t="s">
        <v>191</v>
      </c>
      <c r="BB4" s="45" t="s">
        <v>192</v>
      </c>
      <c r="BC4" s="45" t="s">
        <v>163</v>
      </c>
      <c r="BD4" s="45" t="s">
        <v>191</v>
      </c>
      <c r="BE4" s="45" t="s">
        <v>192</v>
      </c>
      <c r="BF4" s="45" t="s">
        <v>163</v>
      </c>
      <c r="BG4" s="45" t="s">
        <v>191</v>
      </c>
      <c r="BH4" s="45" t="s">
        <v>192</v>
      </c>
      <c r="BI4" s="45" t="s">
        <v>163</v>
      </c>
      <c r="BJ4" s="45" t="s">
        <v>191</v>
      </c>
      <c r="BK4" s="45" t="s">
        <v>192</v>
      </c>
      <c r="BL4" s="45" t="s">
        <v>163</v>
      </c>
      <c r="BM4" s="45" t="s">
        <v>191</v>
      </c>
      <c r="BN4" s="45" t="s">
        <v>192</v>
      </c>
      <c r="BO4" s="45" t="s">
        <v>163</v>
      </c>
      <c r="BP4" s="45" t="s">
        <v>191</v>
      </c>
      <c r="BQ4" s="45" t="s">
        <v>192</v>
      </c>
      <c r="BR4" s="45" t="s">
        <v>163</v>
      </c>
      <c r="BS4" s="45" t="s">
        <v>191</v>
      </c>
      <c r="BT4" s="45" t="s">
        <v>192</v>
      </c>
      <c r="BU4" s="45" t="s">
        <v>163</v>
      </c>
      <c r="BV4" s="45" t="s">
        <v>191</v>
      </c>
      <c r="BW4" s="45" t="s">
        <v>192</v>
      </c>
      <c r="BX4" s="45" t="s">
        <v>163</v>
      </c>
      <c r="BY4" s="69" t="s">
        <v>191</v>
      </c>
      <c r="BZ4" s="69" t="s">
        <v>192</v>
      </c>
      <c r="CA4" s="69" t="s">
        <v>163</v>
      </c>
      <c r="CB4" s="45" t="s">
        <v>191</v>
      </c>
      <c r="CC4" s="45" t="s">
        <v>192</v>
      </c>
      <c r="CD4" s="45" t="s">
        <v>163</v>
      </c>
      <c r="CE4" s="45" t="s">
        <v>191</v>
      </c>
      <c r="CF4" s="45" t="s">
        <v>192</v>
      </c>
      <c r="CG4" s="45" t="s">
        <v>163</v>
      </c>
      <c r="CH4" s="45" t="s">
        <v>191</v>
      </c>
      <c r="CI4" s="45" t="s">
        <v>192</v>
      </c>
      <c r="CJ4" s="45" t="s">
        <v>163</v>
      </c>
      <c r="CK4" s="45" t="s">
        <v>191</v>
      </c>
      <c r="CL4" s="45" t="s">
        <v>192</v>
      </c>
      <c r="CM4" s="45" t="s">
        <v>163</v>
      </c>
      <c r="CN4" s="45" t="s">
        <v>191</v>
      </c>
      <c r="CO4" s="45" t="s">
        <v>192</v>
      </c>
      <c r="CP4" s="45" t="s">
        <v>163</v>
      </c>
      <c r="CQ4" s="45" t="s">
        <v>191</v>
      </c>
      <c r="CR4" s="45" t="s">
        <v>192</v>
      </c>
      <c r="CS4" s="45" t="s">
        <v>163</v>
      </c>
      <c r="CT4" s="75" t="s">
        <v>191</v>
      </c>
      <c r="CU4" s="75" t="s">
        <v>192</v>
      </c>
      <c r="CV4" s="75" t="s">
        <v>163</v>
      </c>
      <c r="CW4" s="45" t="s">
        <v>191</v>
      </c>
      <c r="CX4" s="45" t="s">
        <v>192</v>
      </c>
      <c r="CY4" s="45" t="s">
        <v>163</v>
      </c>
    </row>
    <row r="5" spans="1:103" x14ac:dyDescent="0.25">
      <c r="A5" s="59" t="s">
        <v>193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</row>
    <row r="6" spans="1:103" ht="30" x14ac:dyDescent="0.25">
      <c r="A6" s="61" t="s">
        <v>194</v>
      </c>
      <c r="B6" s="60">
        <v>386426</v>
      </c>
      <c r="C6" s="60">
        <v>592337</v>
      </c>
      <c r="D6" s="60">
        <f t="shared" ref="D6:D19" si="0">B6+C6</f>
        <v>978763</v>
      </c>
      <c r="E6" s="60">
        <v>1061760</v>
      </c>
      <c r="F6" s="60">
        <v>1020484</v>
      </c>
      <c r="G6" s="60">
        <f>F6+E6</f>
        <v>2082244</v>
      </c>
      <c r="H6" s="60"/>
      <c r="I6" s="60"/>
      <c r="J6" s="60">
        <v>12645350</v>
      </c>
      <c r="K6" s="60">
        <v>2280883</v>
      </c>
      <c r="L6" s="60">
        <v>3117461</v>
      </c>
      <c r="M6" s="60">
        <f>L6+K6</f>
        <v>5398344</v>
      </c>
      <c r="N6" s="60">
        <v>17399044</v>
      </c>
      <c r="O6" s="60">
        <v>62741076</v>
      </c>
      <c r="P6" s="60">
        <f>O6+N6</f>
        <v>80140120</v>
      </c>
      <c r="Q6" s="60">
        <v>2056884</v>
      </c>
      <c r="R6" s="60">
        <v>14164601</v>
      </c>
      <c r="S6" s="60">
        <f>R6+Q6</f>
        <v>16221485</v>
      </c>
      <c r="T6" s="60">
        <v>4898095</v>
      </c>
      <c r="U6" s="60">
        <v>51580048</v>
      </c>
      <c r="V6" s="60">
        <f>U6+T6</f>
        <v>56478143</v>
      </c>
      <c r="W6" s="60">
        <v>153710</v>
      </c>
      <c r="X6" s="60">
        <v>411655</v>
      </c>
      <c r="Y6" s="60">
        <f>X6+W6</f>
        <v>565365</v>
      </c>
      <c r="Z6" s="60"/>
      <c r="AA6" s="60">
        <v>717435</v>
      </c>
      <c r="AB6" s="60">
        <f>AA6+Z6</f>
        <v>717435</v>
      </c>
      <c r="AC6" s="60">
        <f>9136528.65+4673003.64</f>
        <v>13809532.289999999</v>
      </c>
      <c r="AD6" s="60">
        <f>13147687.58+6724566.22</f>
        <v>19872253.800000001</v>
      </c>
      <c r="AE6" s="60">
        <f>AD6+AC6</f>
        <v>33681786.090000004</v>
      </c>
      <c r="AF6" s="60">
        <v>3114970</v>
      </c>
      <c r="AG6" s="60">
        <v>11599357</v>
      </c>
      <c r="AH6" s="60">
        <f>AG6+AF6</f>
        <v>14714327</v>
      </c>
      <c r="AI6" s="60">
        <v>2641530</v>
      </c>
      <c r="AJ6" s="60">
        <v>11191499</v>
      </c>
      <c r="AK6" s="60">
        <f>AJ6+AI6</f>
        <v>13833029</v>
      </c>
      <c r="AL6" s="60">
        <v>6379916</v>
      </c>
      <c r="AM6" s="60">
        <v>27477540</v>
      </c>
      <c r="AN6" s="60">
        <f>AM6+AL6</f>
        <v>33857456</v>
      </c>
      <c r="AO6" s="60">
        <v>16194963</v>
      </c>
      <c r="AP6" s="60">
        <v>54668597</v>
      </c>
      <c r="AQ6" s="60">
        <f>AP6+AO6</f>
        <v>70863560</v>
      </c>
      <c r="AR6" s="60">
        <v>7514412</v>
      </c>
      <c r="AS6" s="60">
        <v>24929932</v>
      </c>
      <c r="AT6" s="60">
        <f>AS6+AR6</f>
        <v>32444344</v>
      </c>
      <c r="AU6" s="60">
        <v>633979</v>
      </c>
      <c r="AV6" s="60">
        <v>2012518</v>
      </c>
      <c r="AW6" s="60">
        <f>AV6+AU6</f>
        <v>2646497</v>
      </c>
      <c r="AX6" s="60">
        <v>1222129</v>
      </c>
      <c r="AY6" s="60">
        <v>3405180</v>
      </c>
      <c r="AZ6" s="60">
        <f>AY6+AX6</f>
        <v>4627309</v>
      </c>
      <c r="BA6" s="60">
        <v>829464</v>
      </c>
      <c r="BB6" s="60">
        <v>5464128</v>
      </c>
      <c r="BC6" s="60">
        <f>BB6+BA6</f>
        <v>6293592</v>
      </c>
      <c r="BD6" s="60">
        <v>402948</v>
      </c>
      <c r="BE6" s="60">
        <v>905462</v>
      </c>
      <c r="BF6" s="60">
        <f>BE6+BD6</f>
        <v>1308410</v>
      </c>
      <c r="BG6" s="60">
        <v>658719</v>
      </c>
      <c r="BH6" s="60">
        <v>741021</v>
      </c>
      <c r="BI6" s="60">
        <f>BH6+BG6</f>
        <v>1399740</v>
      </c>
      <c r="BJ6" s="60"/>
      <c r="BK6" s="60">
        <v>73463565</v>
      </c>
      <c r="BL6" s="60">
        <f>BK6+BJ6</f>
        <v>73463565</v>
      </c>
      <c r="BM6" s="60">
        <v>73119923</v>
      </c>
      <c r="BN6" s="60">
        <v>136284723</v>
      </c>
      <c r="BO6" s="60">
        <f>BN6+BM6</f>
        <v>209404646</v>
      </c>
      <c r="BP6" s="60"/>
      <c r="BQ6" s="60"/>
      <c r="BR6" s="60">
        <v>91528636</v>
      </c>
      <c r="BS6" s="60">
        <v>385900</v>
      </c>
      <c r="BT6" s="60">
        <v>743489</v>
      </c>
      <c r="BU6" s="60">
        <f>BT6+BS6</f>
        <v>1129389</v>
      </c>
      <c r="BV6" s="60">
        <v>3310192</v>
      </c>
      <c r="BW6" s="60">
        <v>20494860</v>
      </c>
      <c r="BX6" s="60">
        <f>BW6+BV6</f>
        <v>23805052</v>
      </c>
      <c r="BY6" s="60"/>
      <c r="BZ6" s="60"/>
      <c r="CA6" s="60">
        <f>BZ6+BY6</f>
        <v>0</v>
      </c>
      <c r="CB6" s="60"/>
      <c r="CC6" s="60"/>
      <c r="CD6" s="60">
        <v>3618356</v>
      </c>
      <c r="CE6" s="60">
        <v>3594813</v>
      </c>
      <c r="CF6" s="60">
        <v>14569637</v>
      </c>
      <c r="CG6" s="60">
        <f>CF6+CE6</f>
        <v>18164450</v>
      </c>
      <c r="CH6" s="60">
        <v>3361750</v>
      </c>
      <c r="CI6" s="60">
        <v>11989781</v>
      </c>
      <c r="CJ6" s="60">
        <f>CI6+CH6</f>
        <v>15351531</v>
      </c>
      <c r="CK6" s="60">
        <v>4856852</v>
      </c>
      <c r="CL6" s="60">
        <v>21826758</v>
      </c>
      <c r="CM6" s="60">
        <f>CL6+CK6</f>
        <v>26683610</v>
      </c>
      <c r="CN6" s="60">
        <v>6407380</v>
      </c>
      <c r="CO6" s="60">
        <v>10071133</v>
      </c>
      <c r="CP6" s="60">
        <f>CO6+CN6</f>
        <v>16478513</v>
      </c>
      <c r="CQ6" s="60">
        <v>7937035</v>
      </c>
      <c r="CR6" s="60">
        <v>30281797</v>
      </c>
      <c r="CS6" s="60">
        <f>CR6+CQ6</f>
        <v>38218832</v>
      </c>
      <c r="CT6" s="60"/>
      <c r="CU6" s="60"/>
      <c r="CV6" s="60">
        <v>113437677</v>
      </c>
      <c r="CW6" s="60">
        <v>1923320</v>
      </c>
      <c r="CX6" s="60">
        <v>6255597</v>
      </c>
      <c r="CY6" s="60">
        <f>CX6+CW6</f>
        <v>8178917</v>
      </c>
    </row>
    <row r="7" spans="1:103" ht="15" customHeight="1" x14ac:dyDescent="0.25">
      <c r="A7" s="61" t="s">
        <v>195</v>
      </c>
      <c r="B7" s="60"/>
      <c r="C7" s="60"/>
      <c r="D7" s="60">
        <f t="shared" si="0"/>
        <v>0</v>
      </c>
      <c r="E7" s="60">
        <v>946072</v>
      </c>
      <c r="F7" s="60">
        <v>727793</v>
      </c>
      <c r="G7" s="60">
        <f t="shared" ref="G7:G19" si="1">F7+E7</f>
        <v>1673865</v>
      </c>
      <c r="H7" s="60"/>
      <c r="I7" s="60"/>
      <c r="J7" s="60">
        <v>10746745</v>
      </c>
      <c r="K7" s="60"/>
      <c r="L7" s="60"/>
      <c r="M7" s="60">
        <f t="shared" ref="M7:M19" si="2">L7+K7</f>
        <v>0</v>
      </c>
      <c r="N7" s="60"/>
      <c r="O7" s="60"/>
      <c r="P7" s="60">
        <f t="shared" ref="P7:P19" si="3">O7+N7</f>
        <v>0</v>
      </c>
      <c r="Q7" s="60"/>
      <c r="R7" s="60"/>
      <c r="S7" s="60">
        <f t="shared" ref="S7:S19" si="4">R7+Q7</f>
        <v>0</v>
      </c>
      <c r="T7" s="60"/>
      <c r="U7" s="60"/>
      <c r="V7" s="60">
        <f t="shared" ref="V7:V19" si="5">U7+T7</f>
        <v>0</v>
      </c>
      <c r="W7" s="60">
        <v>100147</v>
      </c>
      <c r="X7" s="60">
        <v>150110</v>
      </c>
      <c r="Y7" s="60">
        <f t="shared" ref="Y7:Y19" si="6">X7+W7</f>
        <v>250257</v>
      </c>
      <c r="Z7" s="60">
        <v>103223</v>
      </c>
      <c r="AA7" s="60">
        <v>50148</v>
      </c>
      <c r="AB7" s="60">
        <f t="shared" ref="AB7:AB19" si="7">AA7+Z7</f>
        <v>153371</v>
      </c>
      <c r="AC7" s="60">
        <v>1004308.18</v>
      </c>
      <c r="AD7" s="60">
        <v>1445223.96</v>
      </c>
      <c r="AE7" s="60">
        <f t="shared" ref="AE7:AE19" si="8">AD7+AC7</f>
        <v>2449532.14</v>
      </c>
      <c r="AF7" s="60"/>
      <c r="AG7" s="60"/>
      <c r="AH7" s="60">
        <f t="shared" ref="AH7:AH19" si="9">AG7+AF7</f>
        <v>0</v>
      </c>
      <c r="AI7" s="60">
        <v>210952</v>
      </c>
      <c r="AJ7" s="60">
        <v>154224</v>
      </c>
      <c r="AK7" s="60">
        <f t="shared" ref="AK7:AK19" si="10">AJ7+AI7</f>
        <v>365176</v>
      </c>
      <c r="AL7" s="60">
        <v>2217737</v>
      </c>
      <c r="AM7" s="60">
        <v>9551531</v>
      </c>
      <c r="AN7" s="60">
        <f t="shared" ref="AN7:AN19" si="11">AM7+AL7</f>
        <v>11769268</v>
      </c>
      <c r="AO7" s="60"/>
      <c r="AP7" s="60"/>
      <c r="AQ7" s="60">
        <f t="shared" ref="AQ7:AQ19" si="12">AP7+AO7</f>
        <v>0</v>
      </c>
      <c r="AR7" s="60">
        <v>472483</v>
      </c>
      <c r="AS7" s="60">
        <v>1567517</v>
      </c>
      <c r="AT7" s="60">
        <f t="shared" ref="AT7:AT19" si="13">AS7+AR7</f>
        <v>2040000</v>
      </c>
      <c r="AU7" s="60"/>
      <c r="AV7" s="60"/>
      <c r="AW7" s="60">
        <f t="shared" ref="AW7:AW19" si="14">AV7+AU7</f>
        <v>0</v>
      </c>
      <c r="AX7" s="60">
        <v>625407</v>
      </c>
      <c r="AY7" s="60">
        <v>1742551</v>
      </c>
      <c r="AZ7" s="60">
        <f t="shared" ref="AZ7:AZ19" si="15">AY7+AX7</f>
        <v>2367958</v>
      </c>
      <c r="BA7" s="60">
        <v>164202</v>
      </c>
      <c r="BB7" s="60">
        <v>1081693</v>
      </c>
      <c r="BC7" s="60">
        <f t="shared" ref="BC7:BC19" si="16">BB7+BA7</f>
        <v>1245895</v>
      </c>
      <c r="BD7" s="60">
        <v>154495</v>
      </c>
      <c r="BE7" s="60">
        <v>564988</v>
      </c>
      <c r="BF7" s="60">
        <f t="shared" ref="BF7:BF19" si="17">BE7+BD7</f>
        <v>719483</v>
      </c>
      <c r="BG7" s="60">
        <v>818097</v>
      </c>
      <c r="BH7" s="60">
        <v>152894</v>
      </c>
      <c r="BI7" s="60">
        <f t="shared" ref="BI7:BI19" si="18">BH7+BG7</f>
        <v>970991</v>
      </c>
      <c r="BJ7" s="60"/>
      <c r="BK7" s="60">
        <v>278325</v>
      </c>
      <c r="BL7" s="60">
        <f t="shared" ref="BL7:BL19" si="19">BK7+BJ7</f>
        <v>278325</v>
      </c>
      <c r="BM7" s="60"/>
      <c r="BN7" s="60"/>
      <c r="BO7" s="60">
        <f t="shared" ref="BO7:BO19" si="20">BN7+BM7</f>
        <v>0</v>
      </c>
      <c r="BP7" s="60"/>
      <c r="BQ7" s="60"/>
      <c r="BR7" s="60">
        <v>642950</v>
      </c>
      <c r="BS7" s="60"/>
      <c r="BT7" s="60"/>
      <c r="BU7" s="60">
        <f t="shared" ref="BU7:BU19" si="21">BT7+BS7</f>
        <v>0</v>
      </c>
      <c r="BV7" s="60">
        <v>1837637</v>
      </c>
      <c r="BW7" s="60">
        <v>11377621</v>
      </c>
      <c r="BX7" s="60">
        <f t="shared" ref="BX7:BX19" si="22">BW7+BV7</f>
        <v>13215258</v>
      </c>
      <c r="BY7" s="60"/>
      <c r="BZ7" s="60"/>
      <c r="CA7" s="60">
        <f t="shared" ref="CA7:CA19" si="23">BZ7+BY7</f>
        <v>0</v>
      </c>
      <c r="CB7" s="60"/>
      <c r="CC7" s="60"/>
      <c r="CD7" s="60">
        <v>1230201</v>
      </c>
      <c r="CE7" s="60"/>
      <c r="CF7" s="60"/>
      <c r="CG7" s="60">
        <f t="shared" ref="CG7:CG19" si="24">CF7+CE7</f>
        <v>0</v>
      </c>
      <c r="CH7" s="60">
        <v>1752114</v>
      </c>
      <c r="CI7" s="60">
        <v>6399657</v>
      </c>
      <c r="CJ7" s="60">
        <f t="shared" ref="CJ7:CJ19" si="25">CI7+CH7</f>
        <v>8151771</v>
      </c>
      <c r="CK7" s="60">
        <v>179100</v>
      </c>
      <c r="CL7" s="60"/>
      <c r="CM7" s="60">
        <f t="shared" ref="CM7:CM19" si="26">CL7+CK7</f>
        <v>179100</v>
      </c>
      <c r="CN7" s="60">
        <v>2436380</v>
      </c>
      <c r="CO7" s="60">
        <v>2165283</v>
      </c>
      <c r="CP7" s="60">
        <f t="shared" ref="CP7:CP19" si="27">CO7+CN7</f>
        <v>4601663</v>
      </c>
      <c r="CQ7" s="60"/>
      <c r="CR7" s="60"/>
      <c r="CS7" s="60">
        <f t="shared" ref="CS7:CS19" si="28">CR7+CQ7</f>
        <v>0</v>
      </c>
      <c r="CT7" s="60"/>
      <c r="CU7" s="60"/>
      <c r="CV7" s="60">
        <f t="shared" ref="CV7:CV19" si="29">CU7+CT7</f>
        <v>0</v>
      </c>
      <c r="CW7" s="60"/>
      <c r="CX7" s="60"/>
      <c r="CY7" s="60">
        <f t="shared" ref="CY7:CY19" si="30">CX7+CW7</f>
        <v>0</v>
      </c>
    </row>
    <row r="8" spans="1:103" ht="15" customHeight="1" x14ac:dyDescent="0.25">
      <c r="A8" s="61" t="s">
        <v>196</v>
      </c>
      <c r="B8" s="60"/>
      <c r="C8" s="60"/>
      <c r="D8" s="60">
        <f t="shared" si="0"/>
        <v>0</v>
      </c>
      <c r="E8" s="60"/>
      <c r="F8" s="60"/>
      <c r="G8" s="60">
        <f t="shared" si="1"/>
        <v>0</v>
      </c>
      <c r="H8" s="60"/>
      <c r="I8" s="60"/>
      <c r="J8" s="60">
        <f t="shared" ref="J8:J19" si="31">I8+H8</f>
        <v>0</v>
      </c>
      <c r="K8" s="60"/>
      <c r="L8" s="60"/>
      <c r="M8" s="60">
        <f t="shared" si="2"/>
        <v>0</v>
      </c>
      <c r="N8" s="60"/>
      <c r="O8" s="60"/>
      <c r="P8" s="60">
        <f t="shared" si="3"/>
        <v>0</v>
      </c>
      <c r="Q8" s="60"/>
      <c r="R8" s="60"/>
      <c r="S8" s="60">
        <f t="shared" si="4"/>
        <v>0</v>
      </c>
      <c r="T8" s="60"/>
      <c r="U8" s="60"/>
      <c r="V8" s="60">
        <f t="shared" si="5"/>
        <v>0</v>
      </c>
      <c r="W8" s="60"/>
      <c r="X8" s="60"/>
      <c r="Y8" s="60">
        <f t="shared" si="6"/>
        <v>0</v>
      </c>
      <c r="Z8" s="60"/>
      <c r="AA8" s="60"/>
      <c r="AB8" s="60">
        <f t="shared" si="7"/>
        <v>0</v>
      </c>
      <c r="AC8" s="60"/>
      <c r="AD8" s="60"/>
      <c r="AE8" s="60">
        <f t="shared" si="8"/>
        <v>0</v>
      </c>
      <c r="AF8" s="60"/>
      <c r="AG8" s="60"/>
      <c r="AH8" s="60">
        <f t="shared" si="9"/>
        <v>0</v>
      </c>
      <c r="AI8" s="60"/>
      <c r="AJ8" s="60"/>
      <c r="AK8" s="60">
        <f t="shared" si="10"/>
        <v>0</v>
      </c>
      <c r="AL8" s="60"/>
      <c r="AM8" s="60"/>
      <c r="AN8" s="60">
        <f t="shared" si="11"/>
        <v>0</v>
      </c>
      <c r="AO8" s="60"/>
      <c r="AP8" s="60"/>
      <c r="AQ8" s="60">
        <f t="shared" si="12"/>
        <v>0</v>
      </c>
      <c r="AR8" s="60"/>
      <c r="AS8" s="60"/>
      <c r="AT8" s="60">
        <f t="shared" si="13"/>
        <v>0</v>
      </c>
      <c r="AU8" s="60"/>
      <c r="AV8" s="60"/>
      <c r="AW8" s="60">
        <f t="shared" si="14"/>
        <v>0</v>
      </c>
      <c r="AX8" s="60"/>
      <c r="AY8" s="60"/>
      <c r="AZ8" s="60">
        <f t="shared" si="15"/>
        <v>0</v>
      </c>
      <c r="BA8" s="60"/>
      <c r="BB8" s="60"/>
      <c r="BC8" s="60">
        <f t="shared" si="16"/>
        <v>0</v>
      </c>
      <c r="BD8" s="60"/>
      <c r="BE8" s="60"/>
      <c r="BF8" s="60">
        <f t="shared" si="17"/>
        <v>0</v>
      </c>
      <c r="BG8" s="60"/>
      <c r="BH8" s="60"/>
      <c r="BI8" s="60">
        <f t="shared" si="18"/>
        <v>0</v>
      </c>
      <c r="BJ8" s="60"/>
      <c r="BK8" s="60"/>
      <c r="BL8" s="60">
        <f t="shared" si="19"/>
        <v>0</v>
      </c>
      <c r="BM8" s="60"/>
      <c r="BN8" s="60"/>
      <c r="BO8" s="60">
        <f t="shared" si="20"/>
        <v>0</v>
      </c>
      <c r="BP8" s="60"/>
      <c r="BQ8" s="60"/>
      <c r="BR8" s="60">
        <f t="shared" ref="BR8:BR19" si="32">BQ8+BP8</f>
        <v>0</v>
      </c>
      <c r="BS8" s="60"/>
      <c r="BT8" s="60"/>
      <c r="BU8" s="60">
        <f t="shared" si="21"/>
        <v>0</v>
      </c>
      <c r="BV8" s="60"/>
      <c r="BW8" s="60"/>
      <c r="BX8" s="60">
        <f t="shared" si="22"/>
        <v>0</v>
      </c>
      <c r="BY8" s="60"/>
      <c r="BZ8" s="60"/>
      <c r="CA8" s="60">
        <f t="shared" si="23"/>
        <v>0</v>
      </c>
      <c r="CB8" s="60"/>
      <c r="CC8" s="60"/>
      <c r="CD8" s="60">
        <f t="shared" ref="CD8:CD17" si="33">CC8+CB8</f>
        <v>0</v>
      </c>
      <c r="CE8" s="60"/>
      <c r="CF8" s="60"/>
      <c r="CG8" s="60">
        <f t="shared" si="24"/>
        <v>0</v>
      </c>
      <c r="CH8" s="60"/>
      <c r="CI8" s="60"/>
      <c r="CJ8" s="60">
        <f t="shared" si="25"/>
        <v>0</v>
      </c>
      <c r="CK8" s="60"/>
      <c r="CL8" s="60"/>
      <c r="CM8" s="60">
        <f t="shared" si="26"/>
        <v>0</v>
      </c>
      <c r="CN8" s="60"/>
      <c r="CO8" s="60"/>
      <c r="CP8" s="60">
        <f t="shared" si="27"/>
        <v>0</v>
      </c>
      <c r="CQ8" s="60"/>
      <c r="CR8" s="60"/>
      <c r="CS8" s="60">
        <f t="shared" si="28"/>
        <v>0</v>
      </c>
      <c r="CT8" s="60"/>
      <c r="CU8" s="60"/>
      <c r="CV8" s="60">
        <f t="shared" si="29"/>
        <v>0</v>
      </c>
      <c r="CW8" s="60"/>
      <c r="CX8" s="60"/>
      <c r="CY8" s="60">
        <f t="shared" si="30"/>
        <v>0</v>
      </c>
    </row>
    <row r="9" spans="1:103" ht="15" customHeight="1" x14ac:dyDescent="0.25">
      <c r="A9" s="61" t="s">
        <v>197</v>
      </c>
      <c r="B9" s="60"/>
      <c r="C9" s="60"/>
      <c r="D9" s="60">
        <f t="shared" si="0"/>
        <v>0</v>
      </c>
      <c r="E9" s="60"/>
      <c r="F9" s="60"/>
      <c r="G9" s="60">
        <f t="shared" si="1"/>
        <v>0</v>
      </c>
      <c r="H9" s="60"/>
      <c r="I9" s="60"/>
      <c r="J9" s="60">
        <f t="shared" si="31"/>
        <v>0</v>
      </c>
      <c r="K9" s="60"/>
      <c r="L9" s="60"/>
      <c r="M9" s="60">
        <f t="shared" si="2"/>
        <v>0</v>
      </c>
      <c r="N9" s="60"/>
      <c r="O9" s="60"/>
      <c r="P9" s="60">
        <f t="shared" si="3"/>
        <v>0</v>
      </c>
      <c r="Q9" s="60"/>
      <c r="R9" s="60"/>
      <c r="S9" s="60">
        <f t="shared" si="4"/>
        <v>0</v>
      </c>
      <c r="T9" s="60"/>
      <c r="U9" s="60"/>
      <c r="V9" s="60">
        <f t="shared" si="5"/>
        <v>0</v>
      </c>
      <c r="W9" s="60"/>
      <c r="X9" s="60"/>
      <c r="Y9" s="60">
        <f t="shared" si="6"/>
        <v>0</v>
      </c>
      <c r="Z9" s="60"/>
      <c r="AA9" s="60"/>
      <c r="AB9" s="60">
        <f t="shared" si="7"/>
        <v>0</v>
      </c>
      <c r="AC9" s="60"/>
      <c r="AD9" s="60"/>
      <c r="AE9" s="60">
        <f t="shared" si="8"/>
        <v>0</v>
      </c>
      <c r="AF9" s="60"/>
      <c r="AG9" s="60"/>
      <c r="AH9" s="60">
        <f t="shared" si="9"/>
        <v>0</v>
      </c>
      <c r="AI9" s="60"/>
      <c r="AJ9" s="60"/>
      <c r="AK9" s="60">
        <f t="shared" si="10"/>
        <v>0</v>
      </c>
      <c r="AL9" s="60"/>
      <c r="AM9" s="60"/>
      <c r="AN9" s="60">
        <f t="shared" si="11"/>
        <v>0</v>
      </c>
      <c r="AO9" s="60"/>
      <c r="AP9" s="60"/>
      <c r="AQ9" s="60">
        <f t="shared" si="12"/>
        <v>0</v>
      </c>
      <c r="AR9" s="60"/>
      <c r="AS9" s="60"/>
      <c r="AT9" s="60">
        <f t="shared" si="13"/>
        <v>0</v>
      </c>
      <c r="AU9" s="60"/>
      <c r="AV9" s="60"/>
      <c r="AW9" s="60">
        <f t="shared" si="14"/>
        <v>0</v>
      </c>
      <c r="AX9" s="60"/>
      <c r="AY9" s="60"/>
      <c r="AZ9" s="60">
        <f t="shared" si="15"/>
        <v>0</v>
      </c>
      <c r="BA9" s="60"/>
      <c r="BB9" s="60"/>
      <c r="BC9" s="60">
        <f t="shared" si="16"/>
        <v>0</v>
      </c>
      <c r="BD9" s="60"/>
      <c r="BE9" s="60"/>
      <c r="BF9" s="60">
        <f t="shared" si="17"/>
        <v>0</v>
      </c>
      <c r="BG9" s="60"/>
      <c r="BH9" s="60"/>
      <c r="BI9" s="60">
        <f t="shared" si="18"/>
        <v>0</v>
      </c>
      <c r="BJ9" s="60"/>
      <c r="BK9" s="60"/>
      <c r="BL9" s="60">
        <f t="shared" si="19"/>
        <v>0</v>
      </c>
      <c r="BM9" s="60"/>
      <c r="BN9" s="60"/>
      <c r="BO9" s="60">
        <f t="shared" si="20"/>
        <v>0</v>
      </c>
      <c r="BP9" s="60"/>
      <c r="BQ9" s="60"/>
      <c r="BR9" s="60">
        <f t="shared" si="32"/>
        <v>0</v>
      </c>
      <c r="BS9" s="60"/>
      <c r="BT9" s="60"/>
      <c r="BU9" s="60">
        <f t="shared" si="21"/>
        <v>0</v>
      </c>
      <c r="BV9" s="60"/>
      <c r="BW9" s="60"/>
      <c r="BX9" s="60">
        <f t="shared" si="22"/>
        <v>0</v>
      </c>
      <c r="BY9" s="60"/>
      <c r="BZ9" s="60"/>
      <c r="CA9" s="60">
        <f t="shared" si="23"/>
        <v>0</v>
      </c>
      <c r="CB9" s="60"/>
      <c r="CC9" s="60"/>
      <c r="CD9" s="60">
        <f t="shared" si="33"/>
        <v>0</v>
      </c>
      <c r="CE9" s="60"/>
      <c r="CF9" s="60"/>
      <c r="CG9" s="60">
        <f t="shared" si="24"/>
        <v>0</v>
      </c>
      <c r="CH9" s="60"/>
      <c r="CI9" s="60"/>
      <c r="CJ9" s="60">
        <f t="shared" si="25"/>
        <v>0</v>
      </c>
      <c r="CK9" s="60"/>
      <c r="CL9" s="60"/>
      <c r="CM9" s="60">
        <f t="shared" si="26"/>
        <v>0</v>
      </c>
      <c r="CN9" s="60"/>
      <c r="CO9" s="60"/>
      <c r="CP9" s="60">
        <f t="shared" si="27"/>
        <v>0</v>
      </c>
      <c r="CQ9" s="60"/>
      <c r="CR9" s="60"/>
      <c r="CS9" s="60">
        <f t="shared" si="28"/>
        <v>0</v>
      </c>
      <c r="CT9" s="60"/>
      <c r="CU9" s="60"/>
      <c r="CV9" s="60">
        <f t="shared" si="29"/>
        <v>0</v>
      </c>
      <c r="CW9" s="60"/>
      <c r="CX9" s="60"/>
      <c r="CY9" s="60">
        <f t="shared" si="30"/>
        <v>0</v>
      </c>
    </row>
    <row r="10" spans="1:103" ht="15" customHeight="1" x14ac:dyDescent="0.25">
      <c r="A10" s="61" t="s">
        <v>198</v>
      </c>
      <c r="B10" s="60"/>
      <c r="C10" s="60"/>
      <c r="D10" s="60">
        <f t="shared" si="0"/>
        <v>0</v>
      </c>
      <c r="E10" s="60"/>
      <c r="F10" s="60"/>
      <c r="G10" s="60">
        <f t="shared" si="1"/>
        <v>0</v>
      </c>
      <c r="H10" s="60"/>
      <c r="I10" s="60"/>
      <c r="J10" s="60">
        <v>2718893</v>
      </c>
      <c r="K10" s="60"/>
      <c r="L10" s="60"/>
      <c r="M10" s="60">
        <f t="shared" si="2"/>
        <v>0</v>
      </c>
      <c r="N10" s="60">
        <v>3918850</v>
      </c>
      <c r="O10" s="60">
        <v>12267939</v>
      </c>
      <c r="P10" s="60">
        <f t="shared" si="3"/>
        <v>16186789</v>
      </c>
      <c r="Q10" s="60">
        <v>20905</v>
      </c>
      <c r="R10" s="60">
        <v>143962</v>
      </c>
      <c r="S10" s="60">
        <f t="shared" si="4"/>
        <v>164867</v>
      </c>
      <c r="T10" s="60">
        <v>81624</v>
      </c>
      <c r="U10" s="60">
        <v>859548</v>
      </c>
      <c r="V10" s="60">
        <f t="shared" si="5"/>
        <v>941172</v>
      </c>
      <c r="W10" s="60"/>
      <c r="X10" s="60"/>
      <c r="Y10" s="60">
        <f t="shared" si="6"/>
        <v>0</v>
      </c>
      <c r="Z10" s="60"/>
      <c r="AA10" s="60"/>
      <c r="AB10" s="60">
        <f t="shared" si="7"/>
        <v>0</v>
      </c>
      <c r="AC10" s="60">
        <v>5760635.5300000003</v>
      </c>
      <c r="AD10" s="60">
        <v>8289695.04</v>
      </c>
      <c r="AE10" s="60">
        <f t="shared" si="8"/>
        <v>14050330.57</v>
      </c>
      <c r="AF10" s="60">
        <v>40022</v>
      </c>
      <c r="AG10" s="60">
        <v>149032</v>
      </c>
      <c r="AH10" s="60">
        <f t="shared" si="9"/>
        <v>189054</v>
      </c>
      <c r="AI10" s="60">
        <v>665631</v>
      </c>
      <c r="AJ10" s="60">
        <v>862113</v>
      </c>
      <c r="AK10" s="60">
        <f t="shared" si="10"/>
        <v>1527744</v>
      </c>
      <c r="AL10" s="60">
        <v>540157</v>
      </c>
      <c r="AM10" s="60">
        <v>2326390</v>
      </c>
      <c r="AN10" s="60">
        <f t="shared" si="11"/>
        <v>2866547</v>
      </c>
      <c r="AO10" s="60">
        <v>4759308</v>
      </c>
      <c r="AP10" s="60">
        <v>16065778</v>
      </c>
      <c r="AQ10" s="60">
        <f t="shared" si="12"/>
        <v>20825086</v>
      </c>
      <c r="AR10" s="60">
        <v>6354</v>
      </c>
      <c r="AS10" s="60">
        <v>21079</v>
      </c>
      <c r="AT10" s="60">
        <f t="shared" si="13"/>
        <v>27433</v>
      </c>
      <c r="AU10" s="60"/>
      <c r="AV10" s="60"/>
      <c r="AW10" s="60">
        <f t="shared" si="14"/>
        <v>0</v>
      </c>
      <c r="AX10" s="60"/>
      <c r="AY10" s="60"/>
      <c r="AZ10" s="60">
        <f t="shared" si="15"/>
        <v>0</v>
      </c>
      <c r="BA10" s="60"/>
      <c r="BB10" s="60"/>
      <c r="BC10" s="60">
        <f t="shared" si="16"/>
        <v>0</v>
      </c>
      <c r="BD10" s="60"/>
      <c r="BE10" s="60"/>
      <c r="BF10" s="60">
        <f t="shared" si="17"/>
        <v>0</v>
      </c>
      <c r="BG10" s="60"/>
      <c r="BH10" s="60"/>
      <c r="BI10" s="60">
        <f t="shared" si="18"/>
        <v>0</v>
      </c>
      <c r="BJ10" s="60"/>
      <c r="BK10" s="60">
        <v>94145343</v>
      </c>
      <c r="BL10" s="60">
        <f t="shared" si="19"/>
        <v>94145343</v>
      </c>
      <c r="BM10" s="60">
        <v>75408102</v>
      </c>
      <c r="BN10" s="60">
        <v>150778599</v>
      </c>
      <c r="BO10" s="60">
        <f t="shared" si="20"/>
        <v>226186701</v>
      </c>
      <c r="BP10" s="60"/>
      <c r="BQ10" s="60"/>
      <c r="BR10" s="60">
        <v>73987910</v>
      </c>
      <c r="BS10" s="60"/>
      <c r="BT10" s="60"/>
      <c r="BU10" s="60">
        <f t="shared" si="21"/>
        <v>0</v>
      </c>
      <c r="BV10" s="60"/>
      <c r="BW10" s="60"/>
      <c r="BX10" s="60">
        <f t="shared" si="22"/>
        <v>0</v>
      </c>
      <c r="BY10" s="60"/>
      <c r="BZ10" s="60"/>
      <c r="CA10" s="60">
        <f t="shared" si="23"/>
        <v>0</v>
      </c>
      <c r="CB10" s="60"/>
      <c r="CC10" s="60"/>
      <c r="CD10" s="60">
        <v>17502</v>
      </c>
      <c r="CE10" s="60"/>
      <c r="CF10" s="60"/>
      <c r="CG10" s="60">
        <f t="shared" si="24"/>
        <v>0</v>
      </c>
      <c r="CH10" s="60">
        <v>2189080</v>
      </c>
      <c r="CI10" s="60"/>
      <c r="CJ10" s="60">
        <f t="shared" si="25"/>
        <v>2189080</v>
      </c>
      <c r="CK10" s="60">
        <v>769088</v>
      </c>
      <c r="CL10" s="60"/>
      <c r="CM10" s="60">
        <f t="shared" si="26"/>
        <v>769088</v>
      </c>
      <c r="CN10" s="60"/>
      <c r="CO10" s="60"/>
      <c r="CP10" s="60">
        <f t="shared" si="27"/>
        <v>0</v>
      </c>
      <c r="CQ10" s="60">
        <v>1396485</v>
      </c>
      <c r="CR10" s="60">
        <v>5327943</v>
      </c>
      <c r="CS10" s="60">
        <f t="shared" si="28"/>
        <v>6724428</v>
      </c>
      <c r="CT10" s="60"/>
      <c r="CU10" s="60"/>
      <c r="CV10" s="60">
        <v>75222113</v>
      </c>
      <c r="CW10" s="60"/>
      <c r="CX10" s="60"/>
      <c r="CY10" s="60">
        <f t="shared" si="30"/>
        <v>0</v>
      </c>
    </row>
    <row r="11" spans="1:103" ht="15" customHeight="1" x14ac:dyDescent="0.25">
      <c r="A11" s="61" t="s">
        <v>199</v>
      </c>
      <c r="B11" s="60"/>
      <c r="C11" s="60"/>
      <c r="D11" s="60">
        <f t="shared" si="0"/>
        <v>0</v>
      </c>
      <c r="E11" s="60"/>
      <c r="F11" s="60"/>
      <c r="G11" s="60">
        <f t="shared" si="1"/>
        <v>0</v>
      </c>
      <c r="H11" s="60"/>
      <c r="I11" s="60"/>
      <c r="J11" s="60">
        <f t="shared" si="31"/>
        <v>0</v>
      </c>
      <c r="K11" s="60"/>
      <c r="L11" s="60"/>
      <c r="M11" s="60">
        <f t="shared" si="2"/>
        <v>0</v>
      </c>
      <c r="N11" s="60"/>
      <c r="O11" s="60">
        <v>330099</v>
      </c>
      <c r="P11" s="60">
        <f t="shared" si="3"/>
        <v>330099</v>
      </c>
      <c r="Q11" s="60"/>
      <c r="R11" s="60"/>
      <c r="S11" s="60">
        <f t="shared" si="4"/>
        <v>0</v>
      </c>
      <c r="T11" s="60"/>
      <c r="U11" s="60"/>
      <c r="V11" s="60">
        <f t="shared" si="5"/>
        <v>0</v>
      </c>
      <c r="W11" s="60"/>
      <c r="X11" s="60"/>
      <c r="Y11" s="60">
        <f t="shared" si="6"/>
        <v>0</v>
      </c>
      <c r="Z11" s="60"/>
      <c r="AA11" s="60"/>
      <c r="AB11" s="60">
        <f t="shared" si="7"/>
        <v>0</v>
      </c>
      <c r="AC11" s="60"/>
      <c r="AD11" s="60"/>
      <c r="AE11" s="60">
        <f t="shared" si="8"/>
        <v>0</v>
      </c>
      <c r="AF11" s="60"/>
      <c r="AG11" s="60"/>
      <c r="AH11" s="60">
        <f t="shared" si="9"/>
        <v>0</v>
      </c>
      <c r="AI11" s="60"/>
      <c r="AJ11" s="60"/>
      <c r="AK11" s="60">
        <f t="shared" si="10"/>
        <v>0</v>
      </c>
      <c r="AL11" s="60">
        <v>9603</v>
      </c>
      <c r="AM11" s="60">
        <v>41360</v>
      </c>
      <c r="AN11" s="60">
        <f t="shared" si="11"/>
        <v>50963</v>
      </c>
      <c r="AO11" s="60">
        <v>84373</v>
      </c>
      <c r="AP11" s="60">
        <v>284815</v>
      </c>
      <c r="AQ11" s="60">
        <f t="shared" si="12"/>
        <v>369188</v>
      </c>
      <c r="AR11" s="60"/>
      <c r="AS11" s="60"/>
      <c r="AT11" s="60">
        <f t="shared" si="13"/>
        <v>0</v>
      </c>
      <c r="AU11" s="60"/>
      <c r="AV11" s="60"/>
      <c r="AW11" s="60">
        <f t="shared" si="14"/>
        <v>0</v>
      </c>
      <c r="AX11" s="60"/>
      <c r="AY11" s="60"/>
      <c r="AZ11" s="60">
        <f t="shared" si="15"/>
        <v>0</v>
      </c>
      <c r="BA11" s="60">
        <v>5091</v>
      </c>
      <c r="BB11" s="60">
        <v>33536</v>
      </c>
      <c r="BC11" s="60">
        <f t="shared" si="16"/>
        <v>38627</v>
      </c>
      <c r="BD11" s="60"/>
      <c r="BE11" s="60"/>
      <c r="BF11" s="60">
        <f t="shared" si="17"/>
        <v>0</v>
      </c>
      <c r="BG11" s="60"/>
      <c r="BH11" s="60"/>
      <c r="BI11" s="60">
        <f t="shared" si="18"/>
        <v>0</v>
      </c>
      <c r="BJ11" s="60"/>
      <c r="BK11" s="60">
        <v>3336</v>
      </c>
      <c r="BL11" s="60">
        <f t="shared" si="19"/>
        <v>3336</v>
      </c>
      <c r="BM11" s="60">
        <v>81</v>
      </c>
      <c r="BN11" s="60">
        <v>162</v>
      </c>
      <c r="BO11" s="60">
        <f t="shared" si="20"/>
        <v>243</v>
      </c>
      <c r="BP11" s="60"/>
      <c r="BQ11" s="60"/>
      <c r="BR11" s="60">
        <v>20407</v>
      </c>
      <c r="BS11" s="60"/>
      <c r="BT11" s="60"/>
      <c r="BU11" s="60">
        <f t="shared" si="21"/>
        <v>0</v>
      </c>
      <c r="BV11" s="60"/>
      <c r="BW11" s="60"/>
      <c r="BX11" s="60">
        <f t="shared" si="22"/>
        <v>0</v>
      </c>
      <c r="BY11" s="60"/>
      <c r="BZ11" s="60"/>
      <c r="CA11" s="60">
        <f t="shared" si="23"/>
        <v>0</v>
      </c>
      <c r="CB11" s="60"/>
      <c r="CC11" s="60"/>
      <c r="CD11" s="60">
        <f t="shared" si="33"/>
        <v>0</v>
      </c>
      <c r="CE11" s="60"/>
      <c r="CF11" s="60"/>
      <c r="CG11" s="60">
        <f t="shared" si="24"/>
        <v>0</v>
      </c>
      <c r="CH11" s="60"/>
      <c r="CI11" s="60"/>
      <c r="CJ11" s="60">
        <f t="shared" si="25"/>
        <v>0</v>
      </c>
      <c r="CK11" s="60"/>
      <c r="CL11" s="60"/>
      <c r="CM11" s="60">
        <f t="shared" si="26"/>
        <v>0</v>
      </c>
      <c r="CN11" s="60"/>
      <c r="CO11" s="60"/>
      <c r="CP11" s="60">
        <f t="shared" si="27"/>
        <v>0</v>
      </c>
      <c r="CQ11" s="60"/>
      <c r="CR11" s="60"/>
      <c r="CS11" s="60">
        <f t="shared" si="28"/>
        <v>0</v>
      </c>
      <c r="CT11" s="60"/>
      <c r="CU11" s="60"/>
      <c r="CV11" s="60">
        <f t="shared" si="29"/>
        <v>0</v>
      </c>
      <c r="CW11" s="60"/>
      <c r="CX11" s="60"/>
      <c r="CY11" s="60">
        <f t="shared" si="30"/>
        <v>0</v>
      </c>
    </row>
    <row r="12" spans="1:103" ht="15" customHeight="1" x14ac:dyDescent="0.25">
      <c r="A12" s="61" t="s">
        <v>200</v>
      </c>
      <c r="B12" s="60"/>
      <c r="C12" s="60"/>
      <c r="D12" s="60">
        <f t="shared" si="0"/>
        <v>0</v>
      </c>
      <c r="E12" s="60"/>
      <c r="F12" s="60"/>
      <c r="G12" s="60">
        <f t="shared" si="1"/>
        <v>0</v>
      </c>
      <c r="H12" s="60"/>
      <c r="I12" s="60"/>
      <c r="J12" s="60">
        <f t="shared" si="31"/>
        <v>0</v>
      </c>
      <c r="K12" s="60"/>
      <c r="L12" s="60"/>
      <c r="M12" s="60">
        <f t="shared" si="2"/>
        <v>0</v>
      </c>
      <c r="N12" s="60"/>
      <c r="O12" s="60"/>
      <c r="P12" s="60">
        <f t="shared" si="3"/>
        <v>0</v>
      </c>
      <c r="Q12" s="60"/>
      <c r="R12" s="60"/>
      <c r="S12" s="60">
        <f t="shared" si="4"/>
        <v>0</v>
      </c>
      <c r="T12" s="60"/>
      <c r="U12" s="60"/>
      <c r="V12" s="60">
        <f t="shared" si="5"/>
        <v>0</v>
      </c>
      <c r="W12" s="60"/>
      <c r="X12" s="60"/>
      <c r="Y12" s="60">
        <f t="shared" si="6"/>
        <v>0</v>
      </c>
      <c r="Z12" s="60"/>
      <c r="AA12" s="60"/>
      <c r="AB12" s="60">
        <f t="shared" si="7"/>
        <v>0</v>
      </c>
      <c r="AC12" s="60"/>
      <c r="AD12" s="60"/>
      <c r="AE12" s="60">
        <f t="shared" si="8"/>
        <v>0</v>
      </c>
      <c r="AF12" s="60"/>
      <c r="AG12" s="60"/>
      <c r="AH12" s="60">
        <f t="shared" si="9"/>
        <v>0</v>
      </c>
      <c r="AI12" s="60"/>
      <c r="AJ12" s="60"/>
      <c r="AK12" s="60">
        <f t="shared" si="10"/>
        <v>0</v>
      </c>
      <c r="AL12" s="60"/>
      <c r="AM12" s="60"/>
      <c r="AN12" s="60">
        <f t="shared" si="11"/>
        <v>0</v>
      </c>
      <c r="AO12" s="60"/>
      <c r="AP12" s="60"/>
      <c r="AQ12" s="60">
        <f t="shared" si="12"/>
        <v>0</v>
      </c>
      <c r="AR12" s="60"/>
      <c r="AS12" s="60"/>
      <c r="AT12" s="60">
        <f t="shared" si="13"/>
        <v>0</v>
      </c>
      <c r="AU12" s="60"/>
      <c r="AV12" s="60"/>
      <c r="AW12" s="60">
        <f t="shared" si="14"/>
        <v>0</v>
      </c>
      <c r="AX12" s="60"/>
      <c r="AY12" s="60"/>
      <c r="AZ12" s="60">
        <f t="shared" si="15"/>
        <v>0</v>
      </c>
      <c r="BA12" s="60"/>
      <c r="BB12" s="60"/>
      <c r="BC12" s="60">
        <f t="shared" si="16"/>
        <v>0</v>
      </c>
      <c r="BD12" s="60"/>
      <c r="BE12" s="60"/>
      <c r="BF12" s="60">
        <f t="shared" si="17"/>
        <v>0</v>
      </c>
      <c r="BG12" s="60"/>
      <c r="BH12" s="60"/>
      <c r="BI12" s="60">
        <f t="shared" si="18"/>
        <v>0</v>
      </c>
      <c r="BJ12" s="60"/>
      <c r="BK12" s="60"/>
      <c r="BL12" s="60">
        <f t="shared" si="19"/>
        <v>0</v>
      </c>
      <c r="BM12" s="60">
        <v>166601</v>
      </c>
      <c r="BN12" s="60">
        <v>333399</v>
      </c>
      <c r="BO12" s="60">
        <f t="shared" si="20"/>
        <v>500000</v>
      </c>
      <c r="BP12" s="60"/>
      <c r="BQ12" s="60"/>
      <c r="BR12" s="60">
        <v>35000</v>
      </c>
      <c r="BS12" s="60"/>
      <c r="BT12" s="60"/>
      <c r="BU12" s="60">
        <f t="shared" si="21"/>
        <v>0</v>
      </c>
      <c r="BV12" s="60"/>
      <c r="BW12" s="60"/>
      <c r="BX12" s="60">
        <f t="shared" si="22"/>
        <v>0</v>
      </c>
      <c r="BY12" s="60"/>
      <c r="BZ12" s="60"/>
      <c r="CA12" s="60">
        <f t="shared" si="23"/>
        <v>0</v>
      </c>
      <c r="CB12" s="60"/>
      <c r="CC12" s="60"/>
      <c r="CD12" s="60">
        <f t="shared" si="33"/>
        <v>0</v>
      </c>
      <c r="CE12" s="60"/>
      <c r="CF12" s="60"/>
      <c r="CG12" s="60">
        <f t="shared" si="24"/>
        <v>0</v>
      </c>
      <c r="CH12" s="60"/>
      <c r="CI12" s="60"/>
      <c r="CJ12" s="60">
        <f t="shared" si="25"/>
        <v>0</v>
      </c>
      <c r="CK12" s="60"/>
      <c r="CL12" s="60"/>
      <c r="CM12" s="60">
        <f t="shared" si="26"/>
        <v>0</v>
      </c>
      <c r="CN12" s="60"/>
      <c r="CO12" s="60"/>
      <c r="CP12" s="60">
        <f t="shared" si="27"/>
        <v>0</v>
      </c>
      <c r="CQ12" s="60"/>
      <c r="CR12" s="60"/>
      <c r="CS12" s="60">
        <f t="shared" si="28"/>
        <v>0</v>
      </c>
      <c r="CT12" s="60"/>
      <c r="CU12" s="60"/>
      <c r="CV12" s="60">
        <f t="shared" si="29"/>
        <v>0</v>
      </c>
      <c r="CW12" s="60"/>
      <c r="CX12" s="60"/>
      <c r="CY12" s="60">
        <f t="shared" si="30"/>
        <v>0</v>
      </c>
    </row>
    <row r="13" spans="1:103" ht="15" customHeight="1" x14ac:dyDescent="0.25">
      <c r="A13" s="61" t="s">
        <v>201</v>
      </c>
      <c r="B13" s="60">
        <v>225770</v>
      </c>
      <c r="C13" s="60">
        <v>346074</v>
      </c>
      <c r="D13" s="60">
        <f t="shared" si="0"/>
        <v>571844</v>
      </c>
      <c r="E13" s="60">
        <v>102820</v>
      </c>
      <c r="F13" s="60">
        <v>802676</v>
      </c>
      <c r="G13" s="60">
        <f t="shared" si="1"/>
        <v>905496</v>
      </c>
      <c r="H13" s="60"/>
      <c r="I13" s="60"/>
      <c r="J13" s="60">
        <v>6479013</v>
      </c>
      <c r="K13" s="60">
        <v>100000</v>
      </c>
      <c r="L13" s="60">
        <v>2759287</v>
      </c>
      <c r="M13" s="60">
        <f t="shared" si="2"/>
        <v>2859287</v>
      </c>
      <c r="N13" s="60">
        <v>951165</v>
      </c>
      <c r="O13" s="60">
        <v>15352634</v>
      </c>
      <c r="P13" s="60">
        <f t="shared" si="3"/>
        <v>16303799</v>
      </c>
      <c r="Q13" s="60">
        <v>797063</v>
      </c>
      <c r="R13" s="60">
        <v>5488922</v>
      </c>
      <c r="S13" s="60">
        <f t="shared" si="4"/>
        <v>6285985</v>
      </c>
      <c r="T13" s="60">
        <v>814840</v>
      </c>
      <c r="U13" s="60">
        <v>8580782</v>
      </c>
      <c r="V13" s="60">
        <f t="shared" si="5"/>
        <v>9395622</v>
      </c>
      <c r="W13" s="60"/>
      <c r="X13" s="60">
        <v>501228</v>
      </c>
      <c r="Y13" s="60">
        <f t="shared" si="6"/>
        <v>501228</v>
      </c>
      <c r="Z13" s="60">
        <v>200715</v>
      </c>
      <c r="AA13" s="60">
        <v>150094</v>
      </c>
      <c r="AB13" s="60">
        <f t="shared" si="7"/>
        <v>350809</v>
      </c>
      <c r="AC13" s="60">
        <f>3186183.13+2944294.17</f>
        <v>6130477.2999999998</v>
      </c>
      <c r="AD13" s="60">
        <f>4584995.23+4236911.12</f>
        <v>8821906.3500000015</v>
      </c>
      <c r="AE13" s="60">
        <f t="shared" si="8"/>
        <v>14952383.650000002</v>
      </c>
      <c r="AF13" s="60">
        <v>1743344</v>
      </c>
      <c r="AG13" s="60">
        <v>6491770</v>
      </c>
      <c r="AH13" s="60">
        <f t="shared" si="9"/>
        <v>8235114</v>
      </c>
      <c r="AI13" s="60">
        <v>647561</v>
      </c>
      <c r="AJ13" s="60">
        <v>1812728</v>
      </c>
      <c r="AK13" s="60">
        <f t="shared" si="10"/>
        <v>2460289</v>
      </c>
      <c r="AL13" s="60">
        <v>3001198</v>
      </c>
      <c r="AM13" s="60">
        <v>12925804</v>
      </c>
      <c r="AN13" s="60">
        <f t="shared" si="11"/>
        <v>15927002</v>
      </c>
      <c r="AO13" s="60">
        <v>10614781</v>
      </c>
      <c r="AP13" s="60">
        <v>35831834</v>
      </c>
      <c r="AQ13" s="60">
        <f t="shared" si="12"/>
        <v>46446615</v>
      </c>
      <c r="AR13" s="60">
        <v>2262271</v>
      </c>
      <c r="AS13" s="60">
        <v>7505344</v>
      </c>
      <c r="AT13" s="60">
        <f t="shared" si="13"/>
        <v>9767615</v>
      </c>
      <c r="AU13" s="60">
        <v>405082</v>
      </c>
      <c r="AV13" s="60">
        <v>1102478</v>
      </c>
      <c r="AW13" s="60">
        <f t="shared" si="14"/>
        <v>1507560</v>
      </c>
      <c r="AX13" s="60">
        <v>1732768</v>
      </c>
      <c r="AY13" s="60">
        <v>4827958</v>
      </c>
      <c r="AZ13" s="60">
        <f t="shared" si="15"/>
        <v>6560726</v>
      </c>
      <c r="BA13" s="60">
        <v>383364</v>
      </c>
      <c r="BB13" s="60">
        <v>2525429</v>
      </c>
      <c r="BC13" s="60">
        <f t="shared" si="16"/>
        <v>2908793</v>
      </c>
      <c r="BD13" s="60">
        <v>251211</v>
      </c>
      <c r="BE13" s="60">
        <v>804673</v>
      </c>
      <c r="BF13" s="60">
        <f t="shared" si="17"/>
        <v>1055884</v>
      </c>
      <c r="BG13" s="60">
        <v>401459</v>
      </c>
      <c r="BH13" s="60">
        <v>2065037</v>
      </c>
      <c r="BI13" s="60">
        <f t="shared" si="18"/>
        <v>2466496</v>
      </c>
      <c r="BJ13" s="60"/>
      <c r="BK13" s="60">
        <v>18767188</v>
      </c>
      <c r="BL13" s="60">
        <f t="shared" si="19"/>
        <v>18767188</v>
      </c>
      <c r="BM13" s="60">
        <v>8651053</v>
      </c>
      <c r="BN13" s="60">
        <v>17184837</v>
      </c>
      <c r="BO13" s="60">
        <f t="shared" si="20"/>
        <v>25835890</v>
      </c>
      <c r="BP13" s="60"/>
      <c r="BQ13" s="60"/>
      <c r="BR13" s="60">
        <f t="shared" si="32"/>
        <v>0</v>
      </c>
      <c r="BS13" s="60">
        <v>310561</v>
      </c>
      <c r="BT13" s="60">
        <v>598338</v>
      </c>
      <c r="BU13" s="60">
        <f t="shared" si="21"/>
        <v>908899</v>
      </c>
      <c r="BV13" s="60">
        <v>4926877</v>
      </c>
      <c r="BW13" s="60">
        <v>30504467</v>
      </c>
      <c r="BX13" s="60">
        <f t="shared" si="22"/>
        <v>35431344</v>
      </c>
      <c r="BY13" s="60"/>
      <c r="BZ13" s="60"/>
      <c r="CA13" s="60">
        <f t="shared" si="23"/>
        <v>0</v>
      </c>
      <c r="CB13" s="60"/>
      <c r="CC13" s="60"/>
      <c r="CD13" s="60">
        <v>2606150</v>
      </c>
      <c r="CE13" s="60">
        <v>2568983</v>
      </c>
      <c r="CF13" s="60">
        <v>10411991</v>
      </c>
      <c r="CG13" s="60">
        <f t="shared" si="24"/>
        <v>12980974</v>
      </c>
      <c r="CH13" s="60">
        <v>1673730</v>
      </c>
      <c r="CI13" s="60">
        <v>6735259</v>
      </c>
      <c r="CJ13" s="60">
        <f t="shared" si="25"/>
        <v>8408989</v>
      </c>
      <c r="CK13" s="60">
        <v>283868</v>
      </c>
      <c r="CL13" s="60">
        <v>3313579</v>
      </c>
      <c r="CM13" s="60">
        <f t="shared" si="26"/>
        <v>3597447</v>
      </c>
      <c r="CN13" s="60"/>
      <c r="CO13" s="60"/>
      <c r="CP13" s="60">
        <f t="shared" si="27"/>
        <v>0</v>
      </c>
      <c r="CQ13" s="60">
        <v>5849130</v>
      </c>
      <c r="CR13" s="60">
        <v>22315911</v>
      </c>
      <c r="CS13" s="60">
        <f t="shared" si="28"/>
        <v>28165041</v>
      </c>
      <c r="CT13" s="60"/>
      <c r="CU13" s="60"/>
      <c r="CV13" s="60">
        <v>18300131</v>
      </c>
      <c r="CW13" s="60">
        <v>1191426</v>
      </c>
      <c r="CX13" s="60">
        <v>3875134</v>
      </c>
      <c r="CY13" s="60">
        <f t="shared" si="30"/>
        <v>5066560</v>
      </c>
    </row>
    <row r="14" spans="1:103" ht="15" customHeight="1" x14ac:dyDescent="0.25">
      <c r="A14" s="61" t="s">
        <v>202</v>
      </c>
      <c r="B14" s="60"/>
      <c r="C14" s="60"/>
      <c r="D14" s="60">
        <f t="shared" si="0"/>
        <v>0</v>
      </c>
      <c r="E14" s="60"/>
      <c r="F14" s="60"/>
      <c r="G14" s="60">
        <f t="shared" si="1"/>
        <v>0</v>
      </c>
      <c r="H14" s="60"/>
      <c r="I14" s="60"/>
      <c r="J14" s="60">
        <v>491150</v>
      </c>
      <c r="K14" s="60"/>
      <c r="L14" s="60"/>
      <c r="M14" s="60">
        <f t="shared" si="2"/>
        <v>0</v>
      </c>
      <c r="N14" s="60"/>
      <c r="O14" s="60"/>
      <c r="P14" s="60">
        <f t="shared" si="3"/>
        <v>0</v>
      </c>
      <c r="Q14" s="60"/>
      <c r="R14" s="60"/>
      <c r="S14" s="60">
        <f t="shared" si="4"/>
        <v>0</v>
      </c>
      <c r="T14" s="60"/>
      <c r="U14" s="60"/>
      <c r="V14" s="60">
        <f t="shared" si="5"/>
        <v>0</v>
      </c>
      <c r="W14" s="60"/>
      <c r="X14" s="60"/>
      <c r="Y14" s="60">
        <f t="shared" si="6"/>
        <v>0</v>
      </c>
      <c r="Z14" s="60"/>
      <c r="AA14" s="60"/>
      <c r="AB14" s="60">
        <f t="shared" si="7"/>
        <v>0</v>
      </c>
      <c r="AC14" s="60"/>
      <c r="AD14" s="60"/>
      <c r="AE14" s="60">
        <f t="shared" si="8"/>
        <v>0</v>
      </c>
      <c r="AF14" s="60"/>
      <c r="AG14" s="60"/>
      <c r="AH14" s="60">
        <f t="shared" si="9"/>
        <v>0</v>
      </c>
      <c r="AI14" s="60"/>
      <c r="AJ14" s="60"/>
      <c r="AK14" s="60">
        <f t="shared" si="10"/>
        <v>0</v>
      </c>
      <c r="AL14" s="60">
        <v>85568</v>
      </c>
      <c r="AM14" s="60">
        <v>368532</v>
      </c>
      <c r="AN14" s="60">
        <f t="shared" si="11"/>
        <v>454100</v>
      </c>
      <c r="AO14" s="60">
        <v>3599147</v>
      </c>
      <c r="AP14" s="60">
        <v>11381516</v>
      </c>
      <c r="AQ14" s="60">
        <f t="shared" si="12"/>
        <v>14980663</v>
      </c>
      <c r="AR14" s="60"/>
      <c r="AS14" s="60"/>
      <c r="AT14" s="60">
        <f>AS14+AR14</f>
        <v>0</v>
      </c>
      <c r="AU14" s="60"/>
      <c r="AV14" s="60"/>
      <c r="AW14" s="60">
        <f t="shared" si="14"/>
        <v>0</v>
      </c>
      <c r="AX14" s="60"/>
      <c r="AY14" s="60"/>
      <c r="AZ14" s="60">
        <f t="shared" si="15"/>
        <v>0</v>
      </c>
      <c r="BA14" s="60"/>
      <c r="BB14" s="60"/>
      <c r="BC14" s="60">
        <f t="shared" si="16"/>
        <v>0</v>
      </c>
      <c r="BD14" s="60"/>
      <c r="BE14" s="60"/>
      <c r="BF14" s="60">
        <f t="shared" si="17"/>
        <v>0</v>
      </c>
      <c r="BG14" s="60"/>
      <c r="BH14" s="60"/>
      <c r="BI14" s="60">
        <f t="shared" si="18"/>
        <v>0</v>
      </c>
      <c r="BJ14" s="60"/>
      <c r="BK14" s="60">
        <v>39870</v>
      </c>
      <c r="BL14" s="60">
        <f t="shared" si="19"/>
        <v>39870</v>
      </c>
      <c r="BM14" s="60"/>
      <c r="BN14" s="60"/>
      <c r="BO14" s="60">
        <f t="shared" si="20"/>
        <v>0</v>
      </c>
      <c r="BP14" s="60"/>
      <c r="BQ14" s="60"/>
      <c r="BR14" s="60">
        <v>7693571</v>
      </c>
      <c r="BS14" s="60"/>
      <c r="BT14" s="60"/>
      <c r="BU14" s="60">
        <f t="shared" si="21"/>
        <v>0</v>
      </c>
      <c r="BV14" s="60">
        <v>34764</v>
      </c>
      <c r="BW14" s="60">
        <v>215236</v>
      </c>
      <c r="BX14" s="60">
        <f t="shared" si="22"/>
        <v>250000</v>
      </c>
      <c r="BY14" s="60"/>
      <c r="BZ14" s="60"/>
      <c r="CA14" s="60">
        <f t="shared" si="23"/>
        <v>0</v>
      </c>
      <c r="CB14" s="60"/>
      <c r="CC14" s="60"/>
      <c r="CD14" s="60">
        <f t="shared" si="33"/>
        <v>0</v>
      </c>
      <c r="CE14" s="60"/>
      <c r="CF14" s="60"/>
      <c r="CG14" s="60">
        <f t="shared" si="24"/>
        <v>0</v>
      </c>
      <c r="CH14" s="60">
        <f>19900+125964+109785</f>
        <v>255649</v>
      </c>
      <c r="CI14" s="60">
        <v>500000</v>
      </c>
      <c r="CJ14" s="60">
        <f t="shared" si="25"/>
        <v>755649</v>
      </c>
      <c r="CK14" s="60">
        <v>731641</v>
      </c>
      <c r="CL14" s="60"/>
      <c r="CM14" s="60">
        <f t="shared" si="26"/>
        <v>731641</v>
      </c>
      <c r="CN14" s="60"/>
      <c r="CO14" s="60"/>
      <c r="CP14" s="60">
        <f t="shared" si="27"/>
        <v>0</v>
      </c>
      <c r="CQ14" s="60"/>
      <c r="CR14" s="60"/>
      <c r="CS14" s="60">
        <f t="shared" si="28"/>
        <v>0</v>
      </c>
      <c r="CT14" s="60"/>
      <c r="CU14" s="60"/>
      <c r="CV14" s="60">
        <f t="shared" si="29"/>
        <v>0</v>
      </c>
      <c r="CW14" s="60"/>
      <c r="CX14" s="60"/>
      <c r="CY14" s="60">
        <f t="shared" si="30"/>
        <v>0</v>
      </c>
    </row>
    <row r="15" spans="1:103" ht="15" customHeight="1" x14ac:dyDescent="0.25">
      <c r="A15" s="61" t="s">
        <v>203</v>
      </c>
      <c r="B15" s="60"/>
      <c r="C15" s="60"/>
      <c r="D15" s="60">
        <f t="shared" si="0"/>
        <v>0</v>
      </c>
      <c r="E15" s="60"/>
      <c r="F15" s="60"/>
      <c r="G15" s="60">
        <f t="shared" si="1"/>
        <v>0</v>
      </c>
      <c r="H15" s="60"/>
      <c r="I15" s="60"/>
      <c r="J15" s="60">
        <f t="shared" si="31"/>
        <v>0</v>
      </c>
      <c r="K15" s="60"/>
      <c r="L15" s="60"/>
      <c r="M15" s="60">
        <f t="shared" si="2"/>
        <v>0</v>
      </c>
      <c r="N15" s="60"/>
      <c r="O15" s="60"/>
      <c r="P15" s="60">
        <f t="shared" si="3"/>
        <v>0</v>
      </c>
      <c r="Q15" s="60"/>
      <c r="R15" s="60"/>
      <c r="S15" s="60">
        <f t="shared" si="4"/>
        <v>0</v>
      </c>
      <c r="T15" s="60"/>
      <c r="U15" s="60"/>
      <c r="V15" s="60">
        <f t="shared" si="5"/>
        <v>0</v>
      </c>
      <c r="W15" s="60"/>
      <c r="X15" s="60"/>
      <c r="Y15" s="60">
        <f t="shared" si="6"/>
        <v>0</v>
      </c>
      <c r="Z15" s="60"/>
      <c r="AA15" s="60"/>
      <c r="AB15" s="60">
        <f t="shared" si="7"/>
        <v>0</v>
      </c>
      <c r="AC15" s="60"/>
      <c r="AD15" s="60"/>
      <c r="AE15" s="60">
        <f t="shared" si="8"/>
        <v>0</v>
      </c>
      <c r="AF15" s="60"/>
      <c r="AG15" s="60"/>
      <c r="AH15" s="60">
        <f t="shared" si="9"/>
        <v>0</v>
      </c>
      <c r="AI15" s="60"/>
      <c r="AJ15" s="60"/>
      <c r="AK15" s="60">
        <f t="shared" si="10"/>
        <v>0</v>
      </c>
      <c r="AL15" s="60"/>
      <c r="AM15" s="60"/>
      <c r="AN15" s="60">
        <f t="shared" si="11"/>
        <v>0</v>
      </c>
      <c r="AO15" s="60"/>
      <c r="AP15" s="60"/>
      <c r="AQ15" s="60">
        <f t="shared" si="12"/>
        <v>0</v>
      </c>
      <c r="AR15" s="60">
        <v>395159</v>
      </c>
      <c r="AS15" s="60">
        <v>1310987</v>
      </c>
      <c r="AT15" s="60">
        <f t="shared" si="13"/>
        <v>1706146</v>
      </c>
      <c r="AU15" s="60"/>
      <c r="AV15" s="60"/>
      <c r="AW15" s="60">
        <f t="shared" si="14"/>
        <v>0</v>
      </c>
      <c r="AX15" s="60"/>
      <c r="AY15" s="60"/>
      <c r="AZ15" s="60">
        <f t="shared" si="15"/>
        <v>0</v>
      </c>
      <c r="BA15" s="60"/>
      <c r="BB15" s="60"/>
      <c r="BC15" s="60">
        <f t="shared" si="16"/>
        <v>0</v>
      </c>
      <c r="BD15" s="60"/>
      <c r="BE15" s="60"/>
      <c r="BF15" s="60">
        <f t="shared" si="17"/>
        <v>0</v>
      </c>
      <c r="BG15" s="60"/>
      <c r="BH15" s="60"/>
      <c r="BI15" s="60">
        <f t="shared" si="18"/>
        <v>0</v>
      </c>
      <c r="BJ15" s="60"/>
      <c r="BK15" s="60"/>
      <c r="BL15" s="60">
        <f t="shared" si="19"/>
        <v>0</v>
      </c>
      <c r="BM15" s="60"/>
      <c r="BN15" s="60"/>
      <c r="BO15" s="60">
        <f t="shared" si="20"/>
        <v>0</v>
      </c>
      <c r="BP15" s="60"/>
      <c r="BQ15" s="60"/>
      <c r="BR15" s="60">
        <f t="shared" si="32"/>
        <v>0</v>
      </c>
      <c r="BS15" s="60"/>
      <c r="BT15" s="60"/>
      <c r="BU15" s="60">
        <f t="shared" si="21"/>
        <v>0</v>
      </c>
      <c r="BV15" s="60"/>
      <c r="BW15" s="60"/>
      <c r="BX15" s="60">
        <f t="shared" si="22"/>
        <v>0</v>
      </c>
      <c r="BY15" s="60"/>
      <c r="BZ15" s="60"/>
      <c r="CA15" s="60">
        <f t="shared" si="23"/>
        <v>0</v>
      </c>
      <c r="CB15" s="60"/>
      <c r="CC15" s="60"/>
      <c r="CD15" s="60">
        <f t="shared" si="33"/>
        <v>0</v>
      </c>
      <c r="CE15" s="60"/>
      <c r="CF15" s="60"/>
      <c r="CG15" s="60">
        <f t="shared" si="24"/>
        <v>0</v>
      </c>
      <c r="CH15" s="60"/>
      <c r="CI15" s="60"/>
      <c r="CJ15" s="60">
        <f t="shared" si="25"/>
        <v>0</v>
      </c>
      <c r="CK15" s="60"/>
      <c r="CL15" s="60"/>
      <c r="CM15" s="60">
        <f t="shared" si="26"/>
        <v>0</v>
      </c>
      <c r="CN15" s="60"/>
      <c r="CO15" s="60"/>
      <c r="CP15" s="60">
        <f t="shared" si="27"/>
        <v>0</v>
      </c>
      <c r="CQ15" s="60"/>
      <c r="CR15" s="60"/>
      <c r="CS15" s="60">
        <f t="shared" si="28"/>
        <v>0</v>
      </c>
      <c r="CT15" s="60"/>
      <c r="CU15" s="60"/>
      <c r="CV15" s="60">
        <f t="shared" si="29"/>
        <v>0</v>
      </c>
      <c r="CW15" s="60"/>
      <c r="CX15" s="60"/>
      <c r="CY15" s="60">
        <f t="shared" si="30"/>
        <v>0</v>
      </c>
    </row>
    <row r="16" spans="1:103" ht="15" customHeight="1" x14ac:dyDescent="0.25">
      <c r="A16" s="61" t="s">
        <v>204</v>
      </c>
      <c r="B16" s="60"/>
      <c r="C16" s="60"/>
      <c r="D16" s="60">
        <f t="shared" si="0"/>
        <v>0</v>
      </c>
      <c r="E16" s="60"/>
      <c r="F16" s="60"/>
      <c r="G16" s="60">
        <f t="shared" si="1"/>
        <v>0</v>
      </c>
      <c r="H16" s="60"/>
      <c r="I16" s="60"/>
      <c r="J16" s="60">
        <f t="shared" si="31"/>
        <v>0</v>
      </c>
      <c r="K16" s="60"/>
      <c r="L16" s="60"/>
      <c r="M16" s="60">
        <f t="shared" si="2"/>
        <v>0</v>
      </c>
      <c r="N16" s="60"/>
      <c r="O16" s="60"/>
      <c r="P16" s="60">
        <f t="shared" si="3"/>
        <v>0</v>
      </c>
      <c r="Q16" s="60"/>
      <c r="R16" s="60"/>
      <c r="S16" s="60">
        <f t="shared" si="4"/>
        <v>0</v>
      </c>
      <c r="T16" s="60"/>
      <c r="U16" s="60"/>
      <c r="V16" s="60">
        <f t="shared" si="5"/>
        <v>0</v>
      </c>
      <c r="W16" s="60"/>
      <c r="X16" s="60"/>
      <c r="Y16" s="60">
        <f t="shared" si="6"/>
        <v>0</v>
      </c>
      <c r="Z16" s="60"/>
      <c r="AA16" s="60"/>
      <c r="AB16" s="60">
        <f t="shared" si="7"/>
        <v>0</v>
      </c>
      <c r="AC16" s="60"/>
      <c r="AD16" s="60"/>
      <c r="AE16" s="60">
        <f t="shared" si="8"/>
        <v>0</v>
      </c>
      <c r="AF16" s="60"/>
      <c r="AG16" s="60"/>
      <c r="AH16" s="60">
        <f t="shared" si="9"/>
        <v>0</v>
      </c>
      <c r="AI16" s="60"/>
      <c r="AJ16" s="60"/>
      <c r="AK16" s="60">
        <f t="shared" si="10"/>
        <v>0</v>
      </c>
      <c r="AL16" s="60"/>
      <c r="AM16" s="60"/>
      <c r="AN16" s="60">
        <f t="shared" si="11"/>
        <v>0</v>
      </c>
      <c r="AO16" s="60"/>
      <c r="AP16" s="60"/>
      <c r="AQ16" s="60">
        <f t="shared" si="12"/>
        <v>0</v>
      </c>
      <c r="AR16" s="60">
        <v>1158</v>
      </c>
      <c r="AS16" s="60">
        <v>3842</v>
      </c>
      <c r="AT16" s="60">
        <f t="shared" si="13"/>
        <v>5000</v>
      </c>
      <c r="AU16" s="60"/>
      <c r="AV16" s="60"/>
      <c r="AW16" s="60">
        <f t="shared" si="14"/>
        <v>0</v>
      </c>
      <c r="AX16" s="60"/>
      <c r="AY16" s="60"/>
      <c r="AZ16" s="60">
        <f t="shared" si="15"/>
        <v>0</v>
      </c>
      <c r="BA16" s="60"/>
      <c r="BB16" s="60"/>
      <c r="BC16" s="60">
        <f t="shared" si="16"/>
        <v>0</v>
      </c>
      <c r="BD16" s="60"/>
      <c r="BE16" s="60"/>
      <c r="BF16" s="60">
        <f t="shared" si="17"/>
        <v>0</v>
      </c>
      <c r="BG16" s="60"/>
      <c r="BH16" s="60"/>
      <c r="BI16" s="60">
        <f t="shared" si="18"/>
        <v>0</v>
      </c>
      <c r="BJ16" s="60"/>
      <c r="BK16" s="60"/>
      <c r="BL16" s="60">
        <f t="shared" si="19"/>
        <v>0</v>
      </c>
      <c r="BM16" s="60">
        <v>497921</v>
      </c>
      <c r="BN16" s="60"/>
      <c r="BO16" s="60">
        <f t="shared" si="20"/>
        <v>497921</v>
      </c>
      <c r="BP16" s="60"/>
      <c r="BQ16" s="60"/>
      <c r="BR16" s="60">
        <v>500</v>
      </c>
      <c r="BS16" s="60"/>
      <c r="BT16" s="60"/>
      <c r="BU16" s="60">
        <f t="shared" si="21"/>
        <v>0</v>
      </c>
      <c r="BV16" s="60"/>
      <c r="BW16" s="60"/>
      <c r="BX16" s="60">
        <f t="shared" si="22"/>
        <v>0</v>
      </c>
      <c r="BY16" s="60"/>
      <c r="BZ16" s="60"/>
      <c r="CA16" s="60">
        <f t="shared" si="23"/>
        <v>0</v>
      </c>
      <c r="CB16" s="60"/>
      <c r="CC16" s="60"/>
      <c r="CD16" s="60">
        <f t="shared" si="33"/>
        <v>0</v>
      </c>
      <c r="CE16" s="60"/>
      <c r="CF16" s="60"/>
      <c r="CG16" s="60">
        <f t="shared" si="24"/>
        <v>0</v>
      </c>
      <c r="CH16" s="60"/>
      <c r="CI16" s="60"/>
      <c r="CJ16" s="60">
        <f t="shared" si="25"/>
        <v>0</v>
      </c>
      <c r="CK16" s="60"/>
      <c r="CL16" s="60"/>
      <c r="CM16" s="60">
        <f t="shared" si="26"/>
        <v>0</v>
      </c>
      <c r="CN16" s="60"/>
      <c r="CO16" s="60"/>
      <c r="CP16" s="60">
        <f t="shared" si="27"/>
        <v>0</v>
      </c>
      <c r="CQ16" s="60"/>
      <c r="CR16" s="60"/>
      <c r="CS16" s="60">
        <f t="shared" si="28"/>
        <v>0</v>
      </c>
      <c r="CT16" s="60"/>
      <c r="CU16" s="60"/>
      <c r="CV16" s="60">
        <f t="shared" si="29"/>
        <v>0</v>
      </c>
      <c r="CW16" s="60"/>
      <c r="CX16" s="60"/>
      <c r="CY16" s="60">
        <f t="shared" si="30"/>
        <v>0</v>
      </c>
    </row>
    <row r="17" spans="1:103" ht="15" customHeight="1" x14ac:dyDescent="0.25">
      <c r="A17" s="61" t="s">
        <v>205</v>
      </c>
      <c r="B17" s="60"/>
      <c r="C17" s="60"/>
      <c r="D17" s="60">
        <f t="shared" si="0"/>
        <v>0</v>
      </c>
      <c r="E17" s="60"/>
      <c r="F17" s="60"/>
      <c r="G17" s="60">
        <f t="shared" si="1"/>
        <v>0</v>
      </c>
      <c r="H17" s="60"/>
      <c r="I17" s="60"/>
      <c r="J17" s="60">
        <f t="shared" si="31"/>
        <v>0</v>
      </c>
      <c r="K17" s="60"/>
      <c r="L17" s="60"/>
      <c r="M17" s="60">
        <f t="shared" si="2"/>
        <v>0</v>
      </c>
      <c r="N17" s="60"/>
      <c r="O17" s="60"/>
      <c r="P17" s="60">
        <f t="shared" si="3"/>
        <v>0</v>
      </c>
      <c r="Q17" s="60">
        <v>96133</v>
      </c>
      <c r="R17" s="60">
        <v>662017</v>
      </c>
      <c r="S17" s="60">
        <f t="shared" si="4"/>
        <v>758150</v>
      </c>
      <c r="T17" s="60">
        <v>24999</v>
      </c>
      <c r="U17" s="60">
        <v>263252</v>
      </c>
      <c r="V17" s="60">
        <f t="shared" si="5"/>
        <v>288251</v>
      </c>
      <c r="W17" s="60"/>
      <c r="X17" s="60"/>
      <c r="Y17" s="60">
        <f t="shared" si="6"/>
        <v>0</v>
      </c>
      <c r="Z17" s="60"/>
      <c r="AA17" s="60"/>
      <c r="AB17" s="60">
        <f t="shared" si="7"/>
        <v>0</v>
      </c>
      <c r="AC17" s="60"/>
      <c r="AD17" s="60"/>
      <c r="AE17" s="60">
        <f t="shared" si="8"/>
        <v>0</v>
      </c>
      <c r="AF17" s="60"/>
      <c r="AG17" s="60"/>
      <c r="AH17" s="60">
        <f t="shared" si="9"/>
        <v>0</v>
      </c>
      <c r="AI17" s="60"/>
      <c r="AJ17" s="60"/>
      <c r="AK17" s="60">
        <f t="shared" si="10"/>
        <v>0</v>
      </c>
      <c r="AL17" s="60"/>
      <c r="AM17" s="60"/>
      <c r="AN17" s="60">
        <f t="shared" si="11"/>
        <v>0</v>
      </c>
      <c r="AO17" s="60">
        <v>245196</v>
      </c>
      <c r="AP17" s="60">
        <v>827696</v>
      </c>
      <c r="AQ17" s="60">
        <f t="shared" si="12"/>
        <v>1072892</v>
      </c>
      <c r="AR17" s="60"/>
      <c r="AS17" s="60"/>
      <c r="AT17" s="60">
        <f t="shared" si="13"/>
        <v>0</v>
      </c>
      <c r="AU17" s="60"/>
      <c r="AV17" s="60"/>
      <c r="AW17" s="60">
        <f t="shared" si="14"/>
        <v>0</v>
      </c>
      <c r="AX17" s="60"/>
      <c r="AY17" s="60"/>
      <c r="AZ17" s="60">
        <f t="shared" si="15"/>
        <v>0</v>
      </c>
      <c r="BA17" s="60"/>
      <c r="BB17" s="60"/>
      <c r="BC17" s="60">
        <f t="shared" si="16"/>
        <v>0</v>
      </c>
      <c r="BD17" s="60"/>
      <c r="BE17" s="60"/>
      <c r="BF17" s="60">
        <f t="shared" si="17"/>
        <v>0</v>
      </c>
      <c r="BG17" s="60"/>
      <c r="BH17" s="60"/>
      <c r="BI17" s="60">
        <f t="shared" si="18"/>
        <v>0</v>
      </c>
      <c r="BJ17" s="60"/>
      <c r="BK17" s="60">
        <v>2568</v>
      </c>
      <c r="BL17" s="60">
        <f t="shared" si="19"/>
        <v>2568</v>
      </c>
      <c r="BM17" s="60"/>
      <c r="BN17" s="60"/>
      <c r="BO17" s="60">
        <f t="shared" si="20"/>
        <v>0</v>
      </c>
      <c r="BP17" s="60"/>
      <c r="BQ17" s="60"/>
      <c r="BR17" s="60">
        <v>457036</v>
      </c>
      <c r="BS17" s="60"/>
      <c r="BT17" s="60"/>
      <c r="BU17" s="60">
        <f t="shared" si="21"/>
        <v>0</v>
      </c>
      <c r="BV17" s="60"/>
      <c r="BW17" s="60"/>
      <c r="BX17" s="60">
        <f t="shared" si="22"/>
        <v>0</v>
      </c>
      <c r="BY17" s="60"/>
      <c r="BZ17" s="60"/>
      <c r="CA17" s="60">
        <f t="shared" si="23"/>
        <v>0</v>
      </c>
      <c r="CB17" s="60"/>
      <c r="CC17" s="60"/>
      <c r="CD17" s="60">
        <f t="shared" si="33"/>
        <v>0</v>
      </c>
      <c r="CE17" s="60"/>
      <c r="CF17" s="60"/>
      <c r="CG17" s="60">
        <f t="shared" si="24"/>
        <v>0</v>
      </c>
      <c r="CH17" s="60"/>
      <c r="CI17" s="60"/>
      <c r="CJ17" s="60">
        <f t="shared" si="25"/>
        <v>0</v>
      </c>
      <c r="CK17" s="60"/>
      <c r="CL17" s="60"/>
      <c r="CM17" s="60">
        <f t="shared" si="26"/>
        <v>0</v>
      </c>
      <c r="CN17" s="60">
        <v>26544</v>
      </c>
      <c r="CO17" s="60">
        <v>41721</v>
      </c>
      <c r="CP17" s="60">
        <f t="shared" si="27"/>
        <v>68265</v>
      </c>
      <c r="CQ17" s="60">
        <v>131163</v>
      </c>
      <c r="CR17" s="60">
        <v>500421</v>
      </c>
      <c r="CS17" s="60">
        <f t="shared" si="28"/>
        <v>631584</v>
      </c>
      <c r="CT17" s="60"/>
      <c r="CU17" s="60"/>
      <c r="CV17" s="60">
        <f t="shared" si="29"/>
        <v>0</v>
      </c>
      <c r="CW17" s="60"/>
      <c r="CX17" s="60"/>
      <c r="CY17" s="60">
        <f t="shared" si="30"/>
        <v>0</v>
      </c>
    </row>
    <row r="18" spans="1:103" ht="15" customHeight="1" x14ac:dyDescent="0.25">
      <c r="A18" s="61" t="s">
        <v>206</v>
      </c>
      <c r="B18" s="60">
        <v>657781</v>
      </c>
      <c r="C18" s="60">
        <v>1008286</v>
      </c>
      <c r="D18" s="60">
        <f t="shared" si="0"/>
        <v>1666067</v>
      </c>
      <c r="E18" s="60">
        <f>99665+50518</f>
        <v>150183</v>
      </c>
      <c r="F18" s="60">
        <f>556466+454751</f>
        <v>1011217</v>
      </c>
      <c r="G18" s="60">
        <f t="shared" si="1"/>
        <v>1161400</v>
      </c>
      <c r="H18" s="60"/>
      <c r="I18" s="60"/>
      <c r="J18" s="60">
        <v>6510655</v>
      </c>
      <c r="K18" s="60">
        <v>99986</v>
      </c>
      <c r="L18" s="60">
        <v>3865389</v>
      </c>
      <c r="M18" s="60">
        <f t="shared" si="2"/>
        <v>3965375</v>
      </c>
      <c r="N18" s="60">
        <v>8389560</v>
      </c>
      <c r="O18" s="60">
        <v>30436828</v>
      </c>
      <c r="P18" s="60">
        <f t="shared" si="3"/>
        <v>38826388</v>
      </c>
      <c r="Q18" s="60">
        <v>2123642</v>
      </c>
      <c r="R18" s="60">
        <v>14624323</v>
      </c>
      <c r="S18" s="60">
        <f t="shared" si="4"/>
        <v>16747965</v>
      </c>
      <c r="T18" s="60">
        <v>571496</v>
      </c>
      <c r="U18" s="60">
        <v>6018218</v>
      </c>
      <c r="V18" s="60">
        <f t="shared" si="5"/>
        <v>6589714</v>
      </c>
      <c r="W18" s="60">
        <v>49997</v>
      </c>
      <c r="X18" s="60">
        <v>303740</v>
      </c>
      <c r="Y18" s="60">
        <f t="shared" si="6"/>
        <v>353737</v>
      </c>
      <c r="Z18" s="60">
        <v>436243</v>
      </c>
      <c r="AA18" s="60">
        <v>258767</v>
      </c>
      <c r="AB18" s="60">
        <f t="shared" si="7"/>
        <v>695010</v>
      </c>
      <c r="AC18" s="60">
        <v>10994896.75</v>
      </c>
      <c r="AD18" s="60">
        <v>15821924.6</v>
      </c>
      <c r="AE18" s="60">
        <f t="shared" si="8"/>
        <v>26816821.350000001</v>
      </c>
      <c r="AF18" s="60">
        <v>3034583</v>
      </c>
      <c r="AG18" s="60">
        <v>11300019</v>
      </c>
      <c r="AH18" s="60">
        <f t="shared" si="9"/>
        <v>14334602</v>
      </c>
      <c r="AI18" s="60">
        <v>2570080</v>
      </c>
      <c r="AJ18" s="60">
        <v>2720224</v>
      </c>
      <c r="AK18" s="60">
        <f t="shared" si="10"/>
        <v>5290304</v>
      </c>
      <c r="AL18" s="60">
        <v>5566673</v>
      </c>
      <c r="AM18" s="60">
        <v>23974998</v>
      </c>
      <c r="AN18" s="60">
        <f t="shared" si="11"/>
        <v>29541671</v>
      </c>
      <c r="AO18" s="60">
        <v>14529574</v>
      </c>
      <c r="AP18" s="60">
        <v>49046820</v>
      </c>
      <c r="AQ18" s="60">
        <f t="shared" si="12"/>
        <v>63576394</v>
      </c>
      <c r="AR18" s="60">
        <v>6497885</v>
      </c>
      <c r="AS18" s="60">
        <v>21557487</v>
      </c>
      <c r="AT18" s="60">
        <f>AS18+AR18</f>
        <v>28055372</v>
      </c>
      <c r="AU18" s="60">
        <v>450208</v>
      </c>
      <c r="AV18" s="60">
        <v>1225294</v>
      </c>
      <c r="AW18" s="60">
        <f t="shared" si="14"/>
        <v>1675502</v>
      </c>
      <c r="AX18" s="60">
        <v>1312608</v>
      </c>
      <c r="AY18" s="60">
        <v>3657277</v>
      </c>
      <c r="AZ18" s="60">
        <f t="shared" si="15"/>
        <v>4969885</v>
      </c>
      <c r="BA18" s="60">
        <v>907008</v>
      </c>
      <c r="BB18" s="60">
        <v>5974961</v>
      </c>
      <c r="BC18" s="60">
        <f t="shared" si="16"/>
        <v>6881969</v>
      </c>
      <c r="BD18" s="60">
        <v>654830</v>
      </c>
      <c r="BE18" s="60">
        <v>617483</v>
      </c>
      <c r="BF18" s="60">
        <f t="shared" si="17"/>
        <v>1272313</v>
      </c>
      <c r="BG18" s="60">
        <v>998377</v>
      </c>
      <c r="BH18" s="60">
        <v>762784</v>
      </c>
      <c r="BI18" s="60">
        <f t="shared" si="18"/>
        <v>1761161</v>
      </c>
      <c r="BJ18" s="60"/>
      <c r="BK18" s="60">
        <v>12817980</v>
      </c>
      <c r="BL18" s="60">
        <f t="shared" si="19"/>
        <v>12817980</v>
      </c>
      <c r="BM18" s="60">
        <v>16069735</v>
      </c>
      <c r="BN18" s="60">
        <v>32158476</v>
      </c>
      <c r="BO18" s="60">
        <f t="shared" si="20"/>
        <v>48228211</v>
      </c>
      <c r="BP18" s="60"/>
      <c r="BQ18" s="60"/>
      <c r="BR18" s="60">
        <v>27613747</v>
      </c>
      <c r="BS18" s="60">
        <v>241946</v>
      </c>
      <c r="BT18" s="60">
        <v>466143</v>
      </c>
      <c r="BU18" s="60">
        <f t="shared" si="21"/>
        <v>708089</v>
      </c>
      <c r="BV18" s="60">
        <v>1563493</v>
      </c>
      <c r="BW18" s="60">
        <v>9680276</v>
      </c>
      <c r="BX18" s="60">
        <f t="shared" si="22"/>
        <v>11243769</v>
      </c>
      <c r="BY18" s="60"/>
      <c r="BZ18" s="60"/>
      <c r="CA18" s="60">
        <f t="shared" si="23"/>
        <v>0</v>
      </c>
      <c r="CB18" s="60"/>
      <c r="CC18" s="60"/>
      <c r="CD18" s="60">
        <v>5662616</v>
      </c>
      <c r="CE18" s="60">
        <v>2036316</v>
      </c>
      <c r="CF18" s="60">
        <v>8253110</v>
      </c>
      <c r="CG18" s="60">
        <f t="shared" si="24"/>
        <v>10289426</v>
      </c>
      <c r="CH18" s="60">
        <f>8426294-185765</f>
        <v>8240529</v>
      </c>
      <c r="CI18" s="60">
        <v>12734828</v>
      </c>
      <c r="CJ18" s="60">
        <f t="shared" si="25"/>
        <v>20975357</v>
      </c>
      <c r="CK18" s="60">
        <v>6469446</v>
      </c>
      <c r="CL18" s="60">
        <v>36743761</v>
      </c>
      <c r="CM18" s="60">
        <f t="shared" si="26"/>
        <v>43213207</v>
      </c>
      <c r="CN18" s="60">
        <v>4895351</v>
      </c>
      <c r="CO18" s="60">
        <v>7694522</v>
      </c>
      <c r="CP18" s="60">
        <f t="shared" si="27"/>
        <v>12589873</v>
      </c>
      <c r="CQ18" s="60">
        <v>5583772</v>
      </c>
      <c r="CR18" s="60">
        <v>21303505</v>
      </c>
      <c r="CS18" s="60">
        <f t="shared" si="28"/>
        <v>26887277</v>
      </c>
      <c r="CT18" s="60"/>
      <c r="CU18" s="60"/>
      <c r="CV18" s="60">
        <v>47207939</v>
      </c>
      <c r="CW18" s="60">
        <v>1775911</v>
      </c>
      <c r="CX18" s="60">
        <v>5776181</v>
      </c>
      <c r="CY18" s="60">
        <f t="shared" si="30"/>
        <v>7552092</v>
      </c>
    </row>
    <row r="19" spans="1:103" ht="15" customHeight="1" x14ac:dyDescent="0.25">
      <c r="A19" s="61" t="s">
        <v>207</v>
      </c>
      <c r="B19" s="60"/>
      <c r="C19" s="60"/>
      <c r="D19" s="60">
        <f t="shared" si="0"/>
        <v>0</v>
      </c>
      <c r="E19" s="60"/>
      <c r="F19" s="60">
        <v>349791</v>
      </c>
      <c r="G19" s="60">
        <f t="shared" si="1"/>
        <v>349791</v>
      </c>
      <c r="H19" s="60"/>
      <c r="I19" s="60"/>
      <c r="J19" s="60">
        <f t="shared" si="31"/>
        <v>0</v>
      </c>
      <c r="K19" s="60"/>
      <c r="L19" s="60">
        <v>369619</v>
      </c>
      <c r="M19" s="60">
        <f t="shared" si="2"/>
        <v>369619</v>
      </c>
      <c r="N19" s="60"/>
      <c r="O19" s="60"/>
      <c r="P19" s="60">
        <f t="shared" si="3"/>
        <v>0</v>
      </c>
      <c r="Q19" s="60">
        <f>-33602+269431</f>
        <v>235829</v>
      </c>
      <c r="R19" s="60">
        <f>-231398+1855422</f>
        <v>1624024</v>
      </c>
      <c r="S19" s="60">
        <f t="shared" si="4"/>
        <v>1859853</v>
      </c>
      <c r="T19" s="60">
        <f>231666+4794+12026</f>
        <v>248486</v>
      </c>
      <c r="U19" s="60">
        <f>50481+126639+2439583</f>
        <v>2616703</v>
      </c>
      <c r="V19" s="60">
        <f t="shared" si="5"/>
        <v>2865189</v>
      </c>
      <c r="W19" s="60">
        <v>42478</v>
      </c>
      <c r="X19" s="60">
        <v>85131</v>
      </c>
      <c r="Y19" s="60">
        <f t="shared" si="6"/>
        <v>127609</v>
      </c>
      <c r="Z19" s="60">
        <v>151739</v>
      </c>
      <c r="AA19" s="60"/>
      <c r="AB19" s="60">
        <f t="shared" si="7"/>
        <v>151739</v>
      </c>
      <c r="AC19" s="60">
        <v>812629.65</v>
      </c>
      <c r="AD19" s="60">
        <v>1169393.8899999999</v>
      </c>
      <c r="AE19" s="60">
        <f t="shared" si="8"/>
        <v>1982023.54</v>
      </c>
      <c r="AF19" s="60">
        <f>-22281+196228</f>
        <v>173947</v>
      </c>
      <c r="AG19" s="60">
        <f>-82969+730702</f>
        <v>647733</v>
      </c>
      <c r="AH19" s="60">
        <f t="shared" si="9"/>
        <v>821680</v>
      </c>
      <c r="AI19" s="60"/>
      <c r="AJ19" s="60"/>
      <c r="AK19" s="60">
        <f t="shared" si="10"/>
        <v>0</v>
      </c>
      <c r="AL19" s="60">
        <f>55985+16326+18844</f>
        <v>91155</v>
      </c>
      <c r="AM19" s="60">
        <f>241121+70315+81157</f>
        <v>392593</v>
      </c>
      <c r="AN19" s="60">
        <f t="shared" si="11"/>
        <v>483748</v>
      </c>
      <c r="AO19" s="60"/>
      <c r="AP19" s="60"/>
      <c r="AQ19" s="60">
        <f t="shared" si="12"/>
        <v>0</v>
      </c>
      <c r="AR19" s="60">
        <f>280658+4454-71799</f>
        <v>213313</v>
      </c>
      <c r="AS19" s="60">
        <f>931117+14777-238201</f>
        <v>707693</v>
      </c>
      <c r="AT19" s="60">
        <f t="shared" si="13"/>
        <v>921006</v>
      </c>
      <c r="AU19" s="60">
        <v>56462</v>
      </c>
      <c r="AV19" s="60">
        <v>153667</v>
      </c>
      <c r="AW19" s="60">
        <f t="shared" si="14"/>
        <v>210129</v>
      </c>
      <c r="AX19" s="60">
        <v>5282</v>
      </c>
      <c r="AY19" s="60">
        <v>14718</v>
      </c>
      <c r="AZ19" s="60">
        <f t="shared" si="15"/>
        <v>20000</v>
      </c>
      <c r="BA19" s="60">
        <v>115099</v>
      </c>
      <c r="BB19" s="60">
        <v>758220</v>
      </c>
      <c r="BC19" s="60">
        <f t="shared" si="16"/>
        <v>873319</v>
      </c>
      <c r="BD19" s="60">
        <v>50000</v>
      </c>
      <c r="BE19" s="60">
        <f>-22500+150289</f>
        <v>127789</v>
      </c>
      <c r="BF19" s="60">
        <f t="shared" si="17"/>
        <v>177789</v>
      </c>
      <c r="BG19" s="60"/>
      <c r="BH19" s="60">
        <v>250259</v>
      </c>
      <c r="BI19" s="60">
        <f t="shared" si="18"/>
        <v>250259</v>
      </c>
      <c r="BJ19" s="60"/>
      <c r="BK19" s="60"/>
      <c r="BL19" s="60">
        <f t="shared" si="19"/>
        <v>0</v>
      </c>
      <c r="BM19" s="60">
        <v>10709171</v>
      </c>
      <c r="BN19" s="60">
        <v>20801630</v>
      </c>
      <c r="BO19" s="60">
        <f t="shared" si="20"/>
        <v>31510801</v>
      </c>
      <c r="BP19" s="60"/>
      <c r="BQ19" s="60"/>
      <c r="BR19" s="60">
        <f t="shared" si="32"/>
        <v>0</v>
      </c>
      <c r="BS19" s="60"/>
      <c r="BT19" s="60"/>
      <c r="BU19" s="60">
        <f t="shared" si="21"/>
        <v>0</v>
      </c>
      <c r="BV19" s="60">
        <v>395182</v>
      </c>
      <c r="BW19" s="60">
        <v>2446744</v>
      </c>
      <c r="BX19" s="60">
        <f t="shared" si="22"/>
        <v>2841926</v>
      </c>
      <c r="BY19" s="60"/>
      <c r="BZ19" s="60"/>
      <c r="CA19" s="60">
        <f t="shared" si="23"/>
        <v>0</v>
      </c>
      <c r="CB19" s="60"/>
      <c r="CC19" s="60"/>
      <c r="CD19" s="60">
        <v>50000</v>
      </c>
      <c r="CE19" s="60">
        <v>433759</v>
      </c>
      <c r="CF19" s="60">
        <v>1758008</v>
      </c>
      <c r="CG19" s="60">
        <f t="shared" si="24"/>
        <v>2191767</v>
      </c>
      <c r="CH19" s="60"/>
      <c r="CI19" s="60"/>
      <c r="CJ19" s="60">
        <f t="shared" si="25"/>
        <v>0</v>
      </c>
      <c r="CK19" s="60"/>
      <c r="CL19" s="60"/>
      <c r="CM19" s="60">
        <f t="shared" si="26"/>
        <v>0</v>
      </c>
      <c r="CN19" s="60">
        <v>19700</v>
      </c>
      <c r="CO19" s="60">
        <v>30964</v>
      </c>
      <c r="CP19" s="60">
        <f t="shared" si="27"/>
        <v>50664</v>
      </c>
      <c r="CQ19" s="60">
        <f>22003+836227</f>
        <v>858230</v>
      </c>
      <c r="CR19" s="60">
        <f>638591+3190420</f>
        <v>3829011</v>
      </c>
      <c r="CS19" s="60">
        <f t="shared" si="28"/>
        <v>4687241</v>
      </c>
      <c r="CT19" s="60"/>
      <c r="CU19" s="60"/>
      <c r="CV19" s="60">
        <v>18976860</v>
      </c>
      <c r="CW19" s="60">
        <v>18468</v>
      </c>
      <c r="CX19" s="60">
        <v>60068</v>
      </c>
      <c r="CY19" s="60">
        <f t="shared" si="30"/>
        <v>78536</v>
      </c>
    </row>
    <row r="20" spans="1:103" s="63" customFormat="1" ht="15" customHeight="1" x14ac:dyDescent="0.25">
      <c r="A20" s="59" t="s">
        <v>208</v>
      </c>
      <c r="B20" s="62">
        <f>SUM(B6:B19)</f>
        <v>1269977</v>
      </c>
      <c r="C20" s="62">
        <f t="shared" ref="C20:BN20" si="34">SUM(C6:C19)</f>
        <v>1946697</v>
      </c>
      <c r="D20" s="62">
        <f t="shared" si="34"/>
        <v>3216674</v>
      </c>
      <c r="E20" s="62">
        <f t="shared" si="34"/>
        <v>2260835</v>
      </c>
      <c r="F20" s="62">
        <f t="shared" si="34"/>
        <v>3911961</v>
      </c>
      <c r="G20" s="62">
        <f t="shared" si="34"/>
        <v>6172796</v>
      </c>
      <c r="H20" s="62">
        <f t="shared" si="34"/>
        <v>0</v>
      </c>
      <c r="I20" s="62">
        <f t="shared" si="34"/>
        <v>0</v>
      </c>
      <c r="J20" s="62">
        <f t="shared" si="34"/>
        <v>39591806</v>
      </c>
      <c r="K20" s="62">
        <f t="shared" si="34"/>
        <v>2480869</v>
      </c>
      <c r="L20" s="62">
        <f t="shared" si="34"/>
        <v>10111756</v>
      </c>
      <c r="M20" s="62">
        <f t="shared" si="34"/>
        <v>12592625</v>
      </c>
      <c r="N20" s="62">
        <f t="shared" si="34"/>
        <v>30658619</v>
      </c>
      <c r="O20" s="62">
        <f t="shared" si="34"/>
        <v>121128576</v>
      </c>
      <c r="P20" s="62">
        <f t="shared" si="34"/>
        <v>151787195</v>
      </c>
      <c r="Q20" s="62">
        <f t="shared" si="34"/>
        <v>5330456</v>
      </c>
      <c r="R20" s="62">
        <f t="shared" si="34"/>
        <v>36707849</v>
      </c>
      <c r="S20" s="62">
        <f t="shared" si="34"/>
        <v>42038305</v>
      </c>
      <c r="T20" s="62">
        <f t="shared" si="34"/>
        <v>6639540</v>
      </c>
      <c r="U20" s="62">
        <f t="shared" si="34"/>
        <v>69918551</v>
      </c>
      <c r="V20" s="62">
        <f t="shared" si="34"/>
        <v>76558091</v>
      </c>
      <c r="W20" s="62">
        <f t="shared" si="34"/>
        <v>346332</v>
      </c>
      <c r="X20" s="62">
        <f t="shared" si="34"/>
        <v>1451864</v>
      </c>
      <c r="Y20" s="62">
        <f t="shared" si="34"/>
        <v>1798196</v>
      </c>
      <c r="Z20" s="62">
        <f t="shared" si="34"/>
        <v>891920</v>
      </c>
      <c r="AA20" s="62">
        <f t="shared" si="34"/>
        <v>1176444</v>
      </c>
      <c r="AB20" s="62">
        <f t="shared" si="34"/>
        <v>2068364</v>
      </c>
      <c r="AC20" s="62">
        <f t="shared" si="34"/>
        <v>38512479.699999996</v>
      </c>
      <c r="AD20" s="62">
        <f t="shared" si="34"/>
        <v>55420397.640000008</v>
      </c>
      <c r="AE20" s="62">
        <f t="shared" si="34"/>
        <v>93932877.340000018</v>
      </c>
      <c r="AF20" s="62">
        <f t="shared" si="34"/>
        <v>8106866</v>
      </c>
      <c r="AG20" s="62">
        <f t="shared" si="34"/>
        <v>30187911</v>
      </c>
      <c r="AH20" s="62">
        <f t="shared" si="34"/>
        <v>38294777</v>
      </c>
      <c r="AI20" s="62">
        <f t="shared" si="34"/>
        <v>6735754</v>
      </c>
      <c r="AJ20" s="62">
        <f t="shared" si="34"/>
        <v>16740788</v>
      </c>
      <c r="AK20" s="62">
        <f t="shared" si="34"/>
        <v>23476542</v>
      </c>
      <c r="AL20" s="62">
        <f t="shared" si="34"/>
        <v>17892007</v>
      </c>
      <c r="AM20" s="62">
        <f t="shared" si="34"/>
        <v>77058748</v>
      </c>
      <c r="AN20" s="62">
        <f t="shared" si="34"/>
        <v>94950755</v>
      </c>
      <c r="AO20" s="62">
        <f t="shared" si="34"/>
        <v>50027342</v>
      </c>
      <c r="AP20" s="62">
        <f t="shared" si="34"/>
        <v>168107056</v>
      </c>
      <c r="AQ20" s="62">
        <f t="shared" si="34"/>
        <v>218134398</v>
      </c>
      <c r="AR20" s="62">
        <f t="shared" si="34"/>
        <v>17363035</v>
      </c>
      <c r="AS20" s="62">
        <f t="shared" si="34"/>
        <v>57603881</v>
      </c>
      <c r="AT20" s="62">
        <f t="shared" si="34"/>
        <v>74966916</v>
      </c>
      <c r="AU20" s="62">
        <f t="shared" si="34"/>
        <v>1545731</v>
      </c>
      <c r="AV20" s="62">
        <f t="shared" si="34"/>
        <v>4493957</v>
      </c>
      <c r="AW20" s="62">
        <f t="shared" si="34"/>
        <v>6039688</v>
      </c>
      <c r="AX20" s="62">
        <f t="shared" si="34"/>
        <v>4898194</v>
      </c>
      <c r="AY20" s="62">
        <f t="shared" si="34"/>
        <v>13647684</v>
      </c>
      <c r="AZ20" s="62">
        <f t="shared" si="34"/>
        <v>18545878</v>
      </c>
      <c r="BA20" s="62">
        <f t="shared" si="34"/>
        <v>2404228</v>
      </c>
      <c r="BB20" s="62">
        <f t="shared" si="34"/>
        <v>15837967</v>
      </c>
      <c r="BC20" s="62">
        <f t="shared" si="34"/>
        <v>18242195</v>
      </c>
      <c r="BD20" s="62">
        <f t="shared" si="34"/>
        <v>1513484</v>
      </c>
      <c r="BE20" s="62">
        <f t="shared" si="34"/>
        <v>3020395</v>
      </c>
      <c r="BF20" s="62">
        <f t="shared" si="34"/>
        <v>4533879</v>
      </c>
      <c r="BG20" s="62">
        <f t="shared" si="34"/>
        <v>2876652</v>
      </c>
      <c r="BH20" s="62">
        <f t="shared" si="34"/>
        <v>3971995</v>
      </c>
      <c r="BI20" s="62">
        <f t="shared" si="34"/>
        <v>6848647</v>
      </c>
      <c r="BJ20" s="62">
        <f t="shared" si="34"/>
        <v>0</v>
      </c>
      <c r="BK20" s="62">
        <f t="shared" si="34"/>
        <v>199518175</v>
      </c>
      <c r="BL20" s="62">
        <f t="shared" si="34"/>
        <v>199518175</v>
      </c>
      <c r="BM20" s="62">
        <f t="shared" si="34"/>
        <v>184622587</v>
      </c>
      <c r="BN20" s="62">
        <f t="shared" si="34"/>
        <v>357541826</v>
      </c>
      <c r="BO20" s="62">
        <f t="shared" ref="BO20:CY20" si="35">SUM(BO6:BO19)</f>
        <v>542164413</v>
      </c>
      <c r="BP20" s="62">
        <f t="shared" si="35"/>
        <v>0</v>
      </c>
      <c r="BQ20" s="62">
        <f t="shared" si="35"/>
        <v>0</v>
      </c>
      <c r="BR20" s="62">
        <f t="shared" si="35"/>
        <v>201979757</v>
      </c>
      <c r="BS20" s="62">
        <f t="shared" si="35"/>
        <v>938407</v>
      </c>
      <c r="BT20" s="62">
        <f t="shared" si="35"/>
        <v>1807970</v>
      </c>
      <c r="BU20" s="62">
        <f t="shared" si="35"/>
        <v>2746377</v>
      </c>
      <c r="BV20" s="62">
        <f t="shared" si="35"/>
        <v>12068145</v>
      </c>
      <c r="BW20" s="62">
        <f t="shared" si="35"/>
        <v>74719204</v>
      </c>
      <c r="BX20" s="62">
        <f t="shared" si="35"/>
        <v>86787349</v>
      </c>
      <c r="BY20" s="62">
        <f t="shared" ref="BY20:CA20" si="36">SUM(BY6:BY19)</f>
        <v>0</v>
      </c>
      <c r="BZ20" s="62">
        <f t="shared" si="36"/>
        <v>0</v>
      </c>
      <c r="CA20" s="62">
        <f t="shared" si="36"/>
        <v>0</v>
      </c>
      <c r="CB20" s="62">
        <f t="shared" si="35"/>
        <v>0</v>
      </c>
      <c r="CC20" s="62">
        <f t="shared" si="35"/>
        <v>0</v>
      </c>
      <c r="CD20" s="62">
        <f t="shared" si="35"/>
        <v>13184825</v>
      </c>
      <c r="CE20" s="62">
        <f t="shared" si="35"/>
        <v>8633871</v>
      </c>
      <c r="CF20" s="62">
        <f t="shared" si="35"/>
        <v>34992746</v>
      </c>
      <c r="CG20" s="62">
        <f t="shared" si="35"/>
        <v>43626617</v>
      </c>
      <c r="CH20" s="62">
        <f t="shared" si="35"/>
        <v>17472852</v>
      </c>
      <c r="CI20" s="62">
        <f t="shared" si="35"/>
        <v>38359525</v>
      </c>
      <c r="CJ20" s="62">
        <f t="shared" si="35"/>
        <v>55832377</v>
      </c>
      <c r="CK20" s="62">
        <f t="shared" si="35"/>
        <v>13289995</v>
      </c>
      <c r="CL20" s="62">
        <f t="shared" si="35"/>
        <v>61884098</v>
      </c>
      <c r="CM20" s="62">
        <f t="shared" si="35"/>
        <v>75174093</v>
      </c>
      <c r="CN20" s="62">
        <f t="shared" si="35"/>
        <v>13785355</v>
      </c>
      <c r="CO20" s="62">
        <f t="shared" si="35"/>
        <v>20003623</v>
      </c>
      <c r="CP20" s="62">
        <f t="shared" si="35"/>
        <v>33788978</v>
      </c>
      <c r="CQ20" s="62">
        <f t="shared" si="35"/>
        <v>21755815</v>
      </c>
      <c r="CR20" s="62">
        <f t="shared" si="35"/>
        <v>83558588</v>
      </c>
      <c r="CS20" s="62">
        <f t="shared" si="35"/>
        <v>105314403</v>
      </c>
      <c r="CT20" s="62">
        <f t="shared" ref="CT20:CV20" si="37">SUM(CT6:CT19)</f>
        <v>0</v>
      </c>
      <c r="CU20" s="62">
        <f t="shared" si="37"/>
        <v>0</v>
      </c>
      <c r="CV20" s="62">
        <f t="shared" si="37"/>
        <v>273144720</v>
      </c>
      <c r="CW20" s="62">
        <f t="shared" si="35"/>
        <v>4909125</v>
      </c>
      <c r="CX20" s="62">
        <f t="shared" si="35"/>
        <v>15966980</v>
      </c>
      <c r="CY20" s="62">
        <f t="shared" si="35"/>
        <v>20876105</v>
      </c>
    </row>
    <row r="21" spans="1:103" ht="15" customHeight="1" x14ac:dyDescent="0.25">
      <c r="A21" s="59" t="s">
        <v>209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</row>
    <row r="22" spans="1:103" ht="30" x14ac:dyDescent="0.25">
      <c r="A22" s="61" t="s">
        <v>194</v>
      </c>
      <c r="B22" s="60">
        <v>153601</v>
      </c>
      <c r="C22" s="60">
        <v>235450</v>
      </c>
      <c r="D22" s="60">
        <f t="shared" ref="D22:D35" si="38">B22+C22</f>
        <v>389051</v>
      </c>
      <c r="E22" s="60"/>
      <c r="F22" s="60"/>
      <c r="G22" s="60">
        <f t="shared" ref="G22:G35" si="39">F22+E22</f>
        <v>0</v>
      </c>
      <c r="H22" s="60"/>
      <c r="I22" s="60"/>
      <c r="J22" s="60">
        <v>10675237</v>
      </c>
      <c r="K22" s="60"/>
      <c r="L22" s="60">
        <v>846627</v>
      </c>
      <c r="M22" s="60">
        <f t="shared" ref="M22:M35" si="40">L22+K22</f>
        <v>846627</v>
      </c>
      <c r="N22" s="60">
        <v>545000</v>
      </c>
      <c r="O22" s="60">
        <v>1482616</v>
      </c>
      <c r="P22" s="60">
        <f t="shared" ref="P22:P35" si="41">O22+N22</f>
        <v>2027616</v>
      </c>
      <c r="Q22" s="60">
        <v>65908</v>
      </c>
      <c r="R22" s="60">
        <v>453872</v>
      </c>
      <c r="S22" s="60">
        <f t="shared" ref="S22:S35" si="42">R22+Q22</f>
        <v>519780</v>
      </c>
      <c r="T22" s="60">
        <v>43363</v>
      </c>
      <c r="U22" s="60">
        <v>456642</v>
      </c>
      <c r="V22" s="60">
        <f t="shared" ref="V22:V35" si="43">U22+T22</f>
        <v>500005</v>
      </c>
      <c r="W22" s="60"/>
      <c r="X22" s="60"/>
      <c r="Y22" s="60">
        <f t="shared" ref="Y22:Y35" si="44">X22+W22</f>
        <v>0</v>
      </c>
      <c r="Z22" s="60"/>
      <c r="AA22" s="60"/>
      <c r="AB22" s="60">
        <f t="shared" ref="AB22:AB35" si="45">AA22+Z22</f>
        <v>0</v>
      </c>
      <c r="AC22" s="60">
        <f>1100195.17+816436.51</f>
        <v>1916631.68</v>
      </c>
      <c r="AD22" s="60">
        <f>1583207.68+1174872.05</f>
        <v>2758079.73</v>
      </c>
      <c r="AE22" s="60">
        <f t="shared" ref="AE22:AE35" si="46">AD22+AC22</f>
        <v>4674711.41</v>
      </c>
      <c r="AF22" s="60">
        <v>17023</v>
      </c>
      <c r="AG22" s="60">
        <v>63388</v>
      </c>
      <c r="AH22" s="60">
        <f t="shared" ref="AH22:AH35" si="47">AG22+AF22</f>
        <v>80411</v>
      </c>
      <c r="AI22" s="60"/>
      <c r="AJ22" s="60">
        <v>908607</v>
      </c>
      <c r="AK22" s="60">
        <f t="shared" ref="AK22:AK35" si="48">AJ22+AI22</f>
        <v>908607</v>
      </c>
      <c r="AL22" s="60">
        <v>160835</v>
      </c>
      <c r="AM22" s="60">
        <v>692699</v>
      </c>
      <c r="AN22" s="60">
        <f t="shared" ref="AN22:AN35" si="49">AM22+AL22</f>
        <v>853534</v>
      </c>
      <c r="AO22" s="60">
        <v>1435515</v>
      </c>
      <c r="AP22" s="60">
        <v>4845803</v>
      </c>
      <c r="AQ22" s="60">
        <f t="shared" ref="AQ22:AQ35" si="50">AP22+AO22</f>
        <v>6281318</v>
      </c>
      <c r="AR22" s="60">
        <v>317670</v>
      </c>
      <c r="AS22" s="60">
        <v>1053907</v>
      </c>
      <c r="AT22" s="60">
        <f t="shared" ref="AT22:AT35" si="51">AS22+AR22</f>
        <v>1371577</v>
      </c>
      <c r="AU22" s="60"/>
      <c r="AV22" s="60"/>
      <c r="AW22" s="60">
        <f t="shared" ref="AW22:AW35" si="52">AV22+AU22</f>
        <v>0</v>
      </c>
      <c r="AX22" s="60">
        <v>383188</v>
      </c>
      <c r="AY22" s="60">
        <v>1067665</v>
      </c>
      <c r="AZ22" s="60">
        <f t="shared" ref="AZ22:AZ35" si="53">AY22+AX22</f>
        <v>1450853</v>
      </c>
      <c r="BA22" s="60">
        <v>78993</v>
      </c>
      <c r="BB22" s="60">
        <v>520373</v>
      </c>
      <c r="BC22" s="60">
        <f t="shared" ref="BC22:BC35" si="54">BB22+BA22</f>
        <v>599366</v>
      </c>
      <c r="BD22" s="60"/>
      <c r="BE22" s="60"/>
      <c r="BF22" s="60">
        <f t="shared" ref="BF22:BF35" si="55">BE22+BD22</f>
        <v>0</v>
      </c>
      <c r="BG22" s="60">
        <v>100312</v>
      </c>
      <c r="BH22" s="60">
        <v>700157</v>
      </c>
      <c r="BI22" s="60">
        <f t="shared" ref="BI22:BI35" si="56">BH22+BG22</f>
        <v>800469</v>
      </c>
      <c r="BJ22" s="60"/>
      <c r="BK22" s="60">
        <v>3410434</v>
      </c>
      <c r="BL22" s="60">
        <f t="shared" ref="BL22:BL35" si="57">BK22+BJ22</f>
        <v>3410434</v>
      </c>
      <c r="BM22" s="60">
        <v>5275277</v>
      </c>
      <c r="BN22" s="60">
        <v>10556793</v>
      </c>
      <c r="BO22" s="60">
        <f t="shared" ref="BO22:BO35" si="58">BN22+BM22</f>
        <v>15832070</v>
      </c>
      <c r="BP22" s="60"/>
      <c r="BQ22" s="60"/>
      <c r="BR22" s="60">
        <v>3074141</v>
      </c>
      <c r="BS22" s="60">
        <v>239606</v>
      </c>
      <c r="BT22" s="60">
        <v>461633</v>
      </c>
      <c r="BU22" s="60">
        <f t="shared" ref="BU22:BU35" si="59">BT22+BS22</f>
        <v>701239</v>
      </c>
      <c r="BV22" s="60">
        <v>80922</v>
      </c>
      <c r="BW22" s="60">
        <v>501025</v>
      </c>
      <c r="BX22" s="60">
        <f t="shared" ref="BX22:BX35" si="60">BW22+BV22</f>
        <v>581947</v>
      </c>
      <c r="BY22" s="60"/>
      <c r="BZ22" s="60"/>
      <c r="CA22" s="60">
        <f t="shared" ref="CA22:CA35" si="61">BZ22+BY22</f>
        <v>0</v>
      </c>
      <c r="CB22" s="60"/>
      <c r="CC22" s="60"/>
      <c r="CD22" s="60">
        <v>310269</v>
      </c>
      <c r="CE22" s="60"/>
      <c r="CF22" s="60"/>
      <c r="CG22" s="60">
        <f t="shared" ref="CG22:CG35" si="62">CF22+CE22</f>
        <v>0</v>
      </c>
      <c r="CH22" s="60">
        <v>149822</v>
      </c>
      <c r="CI22" s="60">
        <v>2097224</v>
      </c>
      <c r="CJ22" s="60">
        <f t="shared" ref="CJ22:CJ35" si="63">CI22+CH22</f>
        <v>2247046</v>
      </c>
      <c r="CK22" s="60"/>
      <c r="CL22" s="60">
        <v>1439794</v>
      </c>
      <c r="CM22" s="60">
        <f t="shared" ref="CM22:CM35" si="64">CL22+CK22</f>
        <v>1439794</v>
      </c>
      <c r="CN22" s="60"/>
      <c r="CO22" s="60"/>
      <c r="CP22" s="60">
        <f t="shared" ref="CP22:CP35" si="65">CO22+CN22</f>
        <v>0</v>
      </c>
      <c r="CQ22" s="60"/>
      <c r="CR22" s="60"/>
      <c r="CS22" s="60">
        <f t="shared" ref="CS22:CS35" si="66">CR22+CQ22</f>
        <v>0</v>
      </c>
      <c r="CT22" s="60"/>
      <c r="CU22" s="60"/>
      <c r="CV22" s="60">
        <v>9285235</v>
      </c>
      <c r="CW22" s="60">
        <v>652570</v>
      </c>
      <c r="CX22" s="60">
        <v>2122495</v>
      </c>
      <c r="CY22" s="60">
        <f t="shared" ref="CY22:CY35" si="67">CX22+CW22</f>
        <v>2775065</v>
      </c>
    </row>
    <row r="23" spans="1:103" ht="15" customHeight="1" x14ac:dyDescent="0.25">
      <c r="A23" s="61" t="s">
        <v>195</v>
      </c>
      <c r="B23" s="60"/>
      <c r="C23" s="60"/>
      <c r="D23" s="60">
        <f t="shared" si="38"/>
        <v>0</v>
      </c>
      <c r="E23" s="60"/>
      <c r="F23" s="60"/>
      <c r="G23" s="60">
        <f t="shared" si="39"/>
        <v>0</v>
      </c>
      <c r="H23" s="60"/>
      <c r="I23" s="60"/>
      <c r="J23" s="60">
        <v>2700848</v>
      </c>
      <c r="K23" s="60"/>
      <c r="L23" s="60"/>
      <c r="M23" s="60">
        <f t="shared" si="40"/>
        <v>0</v>
      </c>
      <c r="N23" s="60"/>
      <c r="O23" s="60"/>
      <c r="P23" s="60">
        <f t="shared" si="41"/>
        <v>0</v>
      </c>
      <c r="Q23" s="60"/>
      <c r="R23" s="60"/>
      <c r="S23" s="60">
        <f t="shared" si="42"/>
        <v>0</v>
      </c>
      <c r="T23" s="60"/>
      <c r="U23" s="60"/>
      <c r="V23" s="60">
        <f t="shared" si="43"/>
        <v>0</v>
      </c>
      <c r="W23" s="60"/>
      <c r="X23" s="60"/>
      <c r="Y23" s="60">
        <f t="shared" si="44"/>
        <v>0</v>
      </c>
      <c r="Z23" s="60">
        <v>3004</v>
      </c>
      <c r="AA23" s="60">
        <v>5008</v>
      </c>
      <c r="AB23" s="60">
        <f t="shared" si="45"/>
        <v>8012</v>
      </c>
      <c r="AC23" s="60"/>
      <c r="AD23" s="60"/>
      <c r="AE23" s="60">
        <f t="shared" si="46"/>
        <v>0</v>
      </c>
      <c r="AF23" s="60"/>
      <c r="AG23" s="60"/>
      <c r="AH23" s="60">
        <f t="shared" si="47"/>
        <v>0</v>
      </c>
      <c r="AI23" s="60"/>
      <c r="AJ23" s="60"/>
      <c r="AK23" s="60">
        <f t="shared" si="48"/>
        <v>0</v>
      </c>
      <c r="AL23" s="60"/>
      <c r="AM23" s="60"/>
      <c r="AN23" s="60">
        <f t="shared" si="49"/>
        <v>0</v>
      </c>
      <c r="AO23" s="60">
        <v>1735925</v>
      </c>
      <c r="AP23" s="60">
        <v>5859885</v>
      </c>
      <c r="AQ23" s="60">
        <f t="shared" si="50"/>
        <v>7595810</v>
      </c>
      <c r="AR23" s="60">
        <v>2494339</v>
      </c>
      <c r="AS23" s="60">
        <v>8275260</v>
      </c>
      <c r="AT23" s="60">
        <f t="shared" si="51"/>
        <v>10769599</v>
      </c>
      <c r="AU23" s="60"/>
      <c r="AV23" s="60"/>
      <c r="AW23" s="60">
        <f t="shared" si="52"/>
        <v>0</v>
      </c>
      <c r="AX23" s="60"/>
      <c r="AY23" s="60"/>
      <c r="AZ23" s="60">
        <f t="shared" si="53"/>
        <v>0</v>
      </c>
      <c r="BA23" s="60"/>
      <c r="BB23" s="60"/>
      <c r="BC23" s="60">
        <f t="shared" si="54"/>
        <v>0</v>
      </c>
      <c r="BD23" s="60"/>
      <c r="BE23" s="60"/>
      <c r="BF23" s="60">
        <f t="shared" si="55"/>
        <v>0</v>
      </c>
      <c r="BG23" s="60"/>
      <c r="BH23" s="60">
        <v>100027</v>
      </c>
      <c r="BI23" s="60">
        <f t="shared" si="56"/>
        <v>100027</v>
      </c>
      <c r="BJ23" s="60"/>
      <c r="BK23" s="60"/>
      <c r="BL23" s="60">
        <f t="shared" si="57"/>
        <v>0</v>
      </c>
      <c r="BM23" s="60"/>
      <c r="BN23" s="60"/>
      <c r="BO23" s="60">
        <f t="shared" si="58"/>
        <v>0</v>
      </c>
      <c r="BP23" s="60"/>
      <c r="BQ23" s="60"/>
      <c r="BR23" s="60">
        <f t="shared" ref="BR23:BR35" si="68">BQ23+BP23</f>
        <v>0</v>
      </c>
      <c r="BS23" s="60"/>
      <c r="BT23" s="60"/>
      <c r="BU23" s="60">
        <f t="shared" si="59"/>
        <v>0</v>
      </c>
      <c r="BV23" s="60">
        <v>205296</v>
      </c>
      <c r="BW23" s="60">
        <v>1271081</v>
      </c>
      <c r="BX23" s="60">
        <f t="shared" si="60"/>
        <v>1476377</v>
      </c>
      <c r="BY23" s="60"/>
      <c r="BZ23" s="60"/>
      <c r="CA23" s="60">
        <f t="shared" si="61"/>
        <v>0</v>
      </c>
      <c r="CB23" s="60"/>
      <c r="CC23" s="60"/>
      <c r="CD23" s="60">
        <f t="shared" ref="CD23:CD33" si="69">CC23+CB23</f>
        <v>0</v>
      </c>
      <c r="CE23" s="60"/>
      <c r="CF23" s="60"/>
      <c r="CG23" s="60">
        <f t="shared" si="62"/>
        <v>0</v>
      </c>
      <c r="CH23" s="60"/>
      <c r="CI23" s="60">
        <v>542096</v>
      </c>
      <c r="CJ23" s="60">
        <f t="shared" si="63"/>
        <v>542096</v>
      </c>
      <c r="CK23" s="60">
        <v>40757</v>
      </c>
      <c r="CL23" s="60"/>
      <c r="CM23" s="60">
        <f t="shared" si="64"/>
        <v>40757</v>
      </c>
      <c r="CN23" s="60">
        <v>62642</v>
      </c>
      <c r="CO23" s="60">
        <v>1762686</v>
      </c>
      <c r="CP23" s="60">
        <f t="shared" si="65"/>
        <v>1825328</v>
      </c>
      <c r="CQ23" s="60"/>
      <c r="CR23" s="60"/>
      <c r="CS23" s="60"/>
      <c r="CT23" s="60"/>
      <c r="CU23" s="60"/>
      <c r="CV23" s="60">
        <f t="shared" ref="CV22:CV35" si="70">CU23+CT23</f>
        <v>0</v>
      </c>
      <c r="CW23" s="60"/>
      <c r="CX23" s="60"/>
      <c r="CY23" s="60">
        <f t="shared" si="67"/>
        <v>0</v>
      </c>
    </row>
    <row r="24" spans="1:103" ht="15" customHeight="1" x14ac:dyDescent="0.25">
      <c r="A24" s="61" t="s">
        <v>196</v>
      </c>
      <c r="B24" s="60"/>
      <c r="C24" s="60"/>
      <c r="D24" s="60">
        <f t="shared" si="38"/>
        <v>0</v>
      </c>
      <c r="E24" s="60"/>
      <c r="F24" s="60"/>
      <c r="G24" s="60">
        <f t="shared" si="39"/>
        <v>0</v>
      </c>
      <c r="H24" s="60"/>
      <c r="I24" s="60"/>
      <c r="J24" s="60">
        <f t="shared" ref="J24:J33" si="71">I24+H24</f>
        <v>0</v>
      </c>
      <c r="K24" s="60"/>
      <c r="L24" s="60"/>
      <c r="M24" s="60">
        <f t="shared" si="40"/>
        <v>0</v>
      </c>
      <c r="N24" s="60"/>
      <c r="O24" s="60"/>
      <c r="P24" s="60">
        <f t="shared" si="41"/>
        <v>0</v>
      </c>
      <c r="Q24" s="60"/>
      <c r="R24" s="60"/>
      <c r="S24" s="60">
        <f t="shared" si="42"/>
        <v>0</v>
      </c>
      <c r="T24" s="60"/>
      <c r="U24" s="60"/>
      <c r="V24" s="60">
        <f t="shared" si="43"/>
        <v>0</v>
      </c>
      <c r="W24" s="60"/>
      <c r="X24" s="60"/>
      <c r="Y24" s="60">
        <f t="shared" si="44"/>
        <v>0</v>
      </c>
      <c r="Z24" s="60"/>
      <c r="AA24" s="60"/>
      <c r="AB24" s="60">
        <f t="shared" si="45"/>
        <v>0</v>
      </c>
      <c r="AC24" s="60"/>
      <c r="AD24" s="60"/>
      <c r="AE24" s="60">
        <f t="shared" si="46"/>
        <v>0</v>
      </c>
      <c r="AF24" s="60"/>
      <c r="AG24" s="60"/>
      <c r="AH24" s="60">
        <f t="shared" si="47"/>
        <v>0</v>
      </c>
      <c r="AI24" s="60"/>
      <c r="AJ24" s="60"/>
      <c r="AK24" s="60">
        <f t="shared" si="48"/>
        <v>0</v>
      </c>
      <c r="AL24" s="60"/>
      <c r="AM24" s="60"/>
      <c r="AN24" s="60">
        <f t="shared" si="49"/>
        <v>0</v>
      </c>
      <c r="AO24" s="60"/>
      <c r="AP24" s="60"/>
      <c r="AQ24" s="60">
        <f t="shared" si="50"/>
        <v>0</v>
      </c>
      <c r="AR24" s="60"/>
      <c r="AS24" s="60"/>
      <c r="AT24" s="60">
        <f t="shared" si="51"/>
        <v>0</v>
      </c>
      <c r="AU24" s="60"/>
      <c r="AV24" s="60"/>
      <c r="AW24" s="60">
        <f t="shared" si="52"/>
        <v>0</v>
      </c>
      <c r="AX24" s="60"/>
      <c r="AY24" s="60"/>
      <c r="AZ24" s="60">
        <f t="shared" si="53"/>
        <v>0</v>
      </c>
      <c r="BA24" s="60"/>
      <c r="BB24" s="60"/>
      <c r="BC24" s="60">
        <f t="shared" si="54"/>
        <v>0</v>
      </c>
      <c r="BD24" s="60"/>
      <c r="BE24" s="60"/>
      <c r="BF24" s="60">
        <f t="shared" si="55"/>
        <v>0</v>
      </c>
      <c r="BG24" s="60"/>
      <c r="BH24" s="60"/>
      <c r="BI24" s="60">
        <f t="shared" si="56"/>
        <v>0</v>
      </c>
      <c r="BJ24" s="60"/>
      <c r="BK24" s="60"/>
      <c r="BL24" s="60">
        <f t="shared" si="57"/>
        <v>0</v>
      </c>
      <c r="BM24" s="60"/>
      <c r="BN24" s="60"/>
      <c r="BO24" s="60">
        <f t="shared" si="58"/>
        <v>0</v>
      </c>
      <c r="BP24" s="60"/>
      <c r="BQ24" s="60"/>
      <c r="BR24" s="60">
        <f t="shared" si="68"/>
        <v>0</v>
      </c>
      <c r="BS24" s="60"/>
      <c r="BT24" s="60"/>
      <c r="BU24" s="60">
        <f t="shared" si="59"/>
        <v>0</v>
      </c>
      <c r="BV24" s="60"/>
      <c r="BW24" s="60"/>
      <c r="BX24" s="60">
        <f t="shared" si="60"/>
        <v>0</v>
      </c>
      <c r="BY24" s="60"/>
      <c r="BZ24" s="60"/>
      <c r="CA24" s="60">
        <f t="shared" si="61"/>
        <v>0</v>
      </c>
      <c r="CB24" s="60"/>
      <c r="CC24" s="60"/>
      <c r="CD24" s="60">
        <f t="shared" si="69"/>
        <v>0</v>
      </c>
      <c r="CE24" s="60"/>
      <c r="CF24" s="60"/>
      <c r="CG24" s="60">
        <f t="shared" si="62"/>
        <v>0</v>
      </c>
      <c r="CH24" s="60"/>
      <c r="CI24" s="60"/>
      <c r="CJ24" s="60">
        <f t="shared" si="63"/>
        <v>0</v>
      </c>
      <c r="CK24" s="60"/>
      <c r="CL24" s="60"/>
      <c r="CM24" s="60">
        <f t="shared" si="64"/>
        <v>0</v>
      </c>
      <c r="CN24" s="60"/>
      <c r="CO24" s="60"/>
      <c r="CP24" s="60">
        <f t="shared" si="65"/>
        <v>0</v>
      </c>
      <c r="CQ24" s="60"/>
      <c r="CR24" s="60"/>
      <c r="CS24" s="60">
        <f t="shared" si="66"/>
        <v>0</v>
      </c>
      <c r="CT24" s="60"/>
      <c r="CU24" s="60"/>
      <c r="CV24" s="60">
        <f t="shared" si="70"/>
        <v>0</v>
      </c>
      <c r="CW24" s="60"/>
      <c r="CX24" s="60"/>
      <c r="CY24" s="60">
        <f t="shared" si="67"/>
        <v>0</v>
      </c>
    </row>
    <row r="25" spans="1:103" ht="15" customHeight="1" x14ac:dyDescent="0.25">
      <c r="A25" s="61" t="s">
        <v>197</v>
      </c>
      <c r="B25" s="60"/>
      <c r="C25" s="60"/>
      <c r="D25" s="60">
        <f t="shared" si="38"/>
        <v>0</v>
      </c>
      <c r="E25" s="60"/>
      <c r="F25" s="60"/>
      <c r="G25" s="60">
        <f t="shared" si="39"/>
        <v>0</v>
      </c>
      <c r="H25" s="60"/>
      <c r="I25" s="60"/>
      <c r="J25" s="60">
        <f t="shared" si="71"/>
        <v>0</v>
      </c>
      <c r="K25" s="60"/>
      <c r="L25" s="60"/>
      <c r="M25" s="60">
        <f t="shared" si="40"/>
        <v>0</v>
      </c>
      <c r="N25" s="60"/>
      <c r="O25" s="60"/>
      <c r="P25" s="60">
        <f t="shared" si="41"/>
        <v>0</v>
      </c>
      <c r="Q25" s="60"/>
      <c r="R25" s="60"/>
      <c r="S25" s="60">
        <f t="shared" si="42"/>
        <v>0</v>
      </c>
      <c r="T25" s="60"/>
      <c r="U25" s="60"/>
      <c r="V25" s="60">
        <f t="shared" si="43"/>
        <v>0</v>
      </c>
      <c r="W25" s="60"/>
      <c r="X25" s="60"/>
      <c r="Y25" s="60">
        <f t="shared" si="44"/>
        <v>0</v>
      </c>
      <c r="Z25" s="60"/>
      <c r="AA25" s="60"/>
      <c r="AB25" s="60">
        <f t="shared" si="45"/>
        <v>0</v>
      </c>
      <c r="AC25" s="60"/>
      <c r="AD25" s="60"/>
      <c r="AE25" s="60">
        <f t="shared" si="46"/>
        <v>0</v>
      </c>
      <c r="AF25" s="60"/>
      <c r="AG25" s="60"/>
      <c r="AH25" s="60">
        <f t="shared" si="47"/>
        <v>0</v>
      </c>
      <c r="AI25" s="60"/>
      <c r="AJ25" s="60"/>
      <c r="AK25" s="60">
        <f t="shared" si="48"/>
        <v>0</v>
      </c>
      <c r="AL25" s="60"/>
      <c r="AM25" s="60"/>
      <c r="AN25" s="60">
        <f t="shared" si="49"/>
        <v>0</v>
      </c>
      <c r="AO25" s="60"/>
      <c r="AP25" s="60"/>
      <c r="AQ25" s="60">
        <f t="shared" si="50"/>
        <v>0</v>
      </c>
      <c r="AR25" s="60"/>
      <c r="AS25" s="60"/>
      <c r="AT25" s="60">
        <f t="shared" si="51"/>
        <v>0</v>
      </c>
      <c r="AU25" s="60"/>
      <c r="AV25" s="60"/>
      <c r="AW25" s="60">
        <f t="shared" si="52"/>
        <v>0</v>
      </c>
      <c r="AX25" s="60"/>
      <c r="AY25" s="60"/>
      <c r="AZ25" s="60">
        <f t="shared" si="53"/>
        <v>0</v>
      </c>
      <c r="BA25" s="60"/>
      <c r="BB25" s="60"/>
      <c r="BC25" s="60">
        <f t="shared" si="54"/>
        <v>0</v>
      </c>
      <c r="BD25" s="60"/>
      <c r="BE25" s="60"/>
      <c r="BF25" s="60">
        <f t="shared" si="55"/>
        <v>0</v>
      </c>
      <c r="BG25" s="60"/>
      <c r="BH25" s="60"/>
      <c r="BI25" s="60">
        <f t="shared" si="56"/>
        <v>0</v>
      </c>
      <c r="BJ25" s="60"/>
      <c r="BK25" s="60"/>
      <c r="BL25" s="60">
        <f t="shared" si="57"/>
        <v>0</v>
      </c>
      <c r="BM25" s="60"/>
      <c r="BN25" s="60"/>
      <c r="BO25" s="60">
        <f t="shared" si="58"/>
        <v>0</v>
      </c>
      <c r="BP25" s="60"/>
      <c r="BQ25" s="60"/>
      <c r="BR25" s="60">
        <f t="shared" si="68"/>
        <v>0</v>
      </c>
      <c r="BS25" s="60"/>
      <c r="BT25" s="60"/>
      <c r="BU25" s="60">
        <f t="shared" si="59"/>
        <v>0</v>
      </c>
      <c r="BV25" s="60"/>
      <c r="BW25" s="60"/>
      <c r="BX25" s="60">
        <f t="shared" si="60"/>
        <v>0</v>
      </c>
      <c r="BY25" s="60"/>
      <c r="BZ25" s="60"/>
      <c r="CA25" s="60">
        <f t="shared" si="61"/>
        <v>0</v>
      </c>
      <c r="CB25" s="60"/>
      <c r="CC25" s="60"/>
      <c r="CD25" s="60">
        <f t="shared" si="69"/>
        <v>0</v>
      </c>
      <c r="CE25" s="60"/>
      <c r="CF25" s="60"/>
      <c r="CG25" s="60">
        <f t="shared" si="62"/>
        <v>0</v>
      </c>
      <c r="CH25" s="60"/>
      <c r="CI25" s="60"/>
      <c r="CJ25" s="60">
        <f t="shared" si="63"/>
        <v>0</v>
      </c>
      <c r="CK25" s="60"/>
      <c r="CL25" s="60"/>
      <c r="CM25" s="60">
        <f t="shared" si="64"/>
        <v>0</v>
      </c>
      <c r="CN25" s="60"/>
      <c r="CO25" s="60"/>
      <c r="CP25" s="60">
        <f t="shared" si="65"/>
        <v>0</v>
      </c>
      <c r="CQ25" s="60"/>
      <c r="CR25" s="60"/>
      <c r="CS25" s="60">
        <f t="shared" si="66"/>
        <v>0</v>
      </c>
      <c r="CT25" s="60"/>
      <c r="CU25" s="60"/>
      <c r="CV25" s="60">
        <f t="shared" si="70"/>
        <v>0</v>
      </c>
      <c r="CW25" s="60"/>
      <c r="CX25" s="60"/>
      <c r="CY25" s="60">
        <f t="shared" si="67"/>
        <v>0</v>
      </c>
    </row>
    <row r="26" spans="1:103" ht="15" customHeight="1" x14ac:dyDescent="0.25">
      <c r="A26" s="61" t="s">
        <v>198</v>
      </c>
      <c r="B26" s="60"/>
      <c r="C26" s="60"/>
      <c r="D26" s="60">
        <f t="shared" si="38"/>
        <v>0</v>
      </c>
      <c r="E26" s="60"/>
      <c r="F26" s="60"/>
      <c r="G26" s="60">
        <f t="shared" si="39"/>
        <v>0</v>
      </c>
      <c r="H26" s="60"/>
      <c r="I26" s="60"/>
      <c r="J26" s="60">
        <f t="shared" si="71"/>
        <v>0</v>
      </c>
      <c r="K26" s="60"/>
      <c r="L26" s="60"/>
      <c r="M26" s="60">
        <f t="shared" si="40"/>
        <v>0</v>
      </c>
      <c r="N26" s="60"/>
      <c r="O26" s="60"/>
      <c r="P26" s="60">
        <f t="shared" si="41"/>
        <v>0</v>
      </c>
      <c r="Q26" s="60"/>
      <c r="R26" s="60"/>
      <c r="S26" s="60">
        <f t="shared" si="42"/>
        <v>0</v>
      </c>
      <c r="T26" s="60"/>
      <c r="U26" s="60"/>
      <c r="V26" s="60">
        <f t="shared" si="43"/>
        <v>0</v>
      </c>
      <c r="W26" s="60"/>
      <c r="X26" s="60"/>
      <c r="Y26" s="60">
        <f t="shared" si="44"/>
        <v>0</v>
      </c>
      <c r="Z26" s="60">
        <v>226316</v>
      </c>
      <c r="AA26" s="60"/>
      <c r="AB26" s="60">
        <f t="shared" si="45"/>
        <v>226316</v>
      </c>
      <c r="AC26" s="60"/>
      <c r="AD26" s="60"/>
      <c r="AE26" s="60">
        <f t="shared" si="46"/>
        <v>0</v>
      </c>
      <c r="AF26" s="60"/>
      <c r="AG26" s="60"/>
      <c r="AH26" s="60">
        <f t="shared" si="47"/>
        <v>0</v>
      </c>
      <c r="AI26" s="60"/>
      <c r="AJ26" s="60"/>
      <c r="AK26" s="60">
        <f t="shared" si="48"/>
        <v>0</v>
      </c>
      <c r="AL26" s="60"/>
      <c r="AM26" s="60"/>
      <c r="AN26" s="60">
        <f t="shared" si="49"/>
        <v>0</v>
      </c>
      <c r="AO26" s="60"/>
      <c r="AP26" s="60"/>
      <c r="AQ26" s="60">
        <f t="shared" si="50"/>
        <v>0</v>
      </c>
      <c r="AR26" s="60"/>
      <c r="AS26" s="60"/>
      <c r="AT26" s="60">
        <f t="shared" si="51"/>
        <v>0</v>
      </c>
      <c r="AU26" s="60"/>
      <c r="AV26" s="60"/>
      <c r="AW26" s="60">
        <f t="shared" si="52"/>
        <v>0</v>
      </c>
      <c r="AX26" s="60"/>
      <c r="AY26" s="60"/>
      <c r="AZ26" s="60">
        <f t="shared" si="53"/>
        <v>0</v>
      </c>
      <c r="BA26" s="60"/>
      <c r="BB26" s="60"/>
      <c r="BC26" s="60">
        <f t="shared" si="54"/>
        <v>0</v>
      </c>
      <c r="BD26" s="60"/>
      <c r="BE26" s="60"/>
      <c r="BF26" s="60">
        <f t="shared" si="55"/>
        <v>0</v>
      </c>
      <c r="BG26" s="60"/>
      <c r="BH26" s="60"/>
      <c r="BI26" s="60">
        <f t="shared" si="56"/>
        <v>0</v>
      </c>
      <c r="BJ26" s="60"/>
      <c r="BK26" s="60"/>
      <c r="BL26" s="60">
        <f t="shared" si="57"/>
        <v>0</v>
      </c>
      <c r="BM26" s="60"/>
      <c r="BN26" s="60"/>
      <c r="BO26" s="60">
        <f t="shared" si="58"/>
        <v>0</v>
      </c>
      <c r="BP26" s="60"/>
      <c r="BQ26" s="60"/>
      <c r="BR26" s="60">
        <f t="shared" si="68"/>
        <v>0</v>
      </c>
      <c r="BS26" s="60"/>
      <c r="BT26" s="60"/>
      <c r="BU26" s="60">
        <f t="shared" si="59"/>
        <v>0</v>
      </c>
      <c r="BV26" s="60">
        <v>192164</v>
      </c>
      <c r="BW26" s="60">
        <v>1189769</v>
      </c>
      <c r="BX26" s="60">
        <f t="shared" si="60"/>
        <v>1381933</v>
      </c>
      <c r="BY26" s="60"/>
      <c r="BZ26" s="60"/>
      <c r="CA26" s="60">
        <f t="shared" si="61"/>
        <v>0</v>
      </c>
      <c r="CB26" s="60"/>
      <c r="CC26" s="60"/>
      <c r="CD26" s="60">
        <f t="shared" si="69"/>
        <v>0</v>
      </c>
      <c r="CE26" s="60">
        <v>627670</v>
      </c>
      <c r="CF26" s="60">
        <v>2543925</v>
      </c>
      <c r="CG26" s="60">
        <f t="shared" si="62"/>
        <v>3171595</v>
      </c>
      <c r="CH26" s="60"/>
      <c r="CI26" s="60"/>
      <c r="CJ26" s="60">
        <f t="shared" si="63"/>
        <v>0</v>
      </c>
      <c r="CK26" s="60"/>
      <c r="CL26" s="60"/>
      <c r="CM26" s="60">
        <f t="shared" si="64"/>
        <v>0</v>
      </c>
      <c r="CN26" s="60"/>
      <c r="CO26" s="60"/>
      <c r="CP26" s="60">
        <f t="shared" si="65"/>
        <v>0</v>
      </c>
      <c r="CQ26" s="60"/>
      <c r="CR26" s="60"/>
      <c r="CS26" s="60">
        <f t="shared" si="66"/>
        <v>0</v>
      </c>
      <c r="CT26" s="60"/>
      <c r="CU26" s="60"/>
      <c r="CV26" s="60">
        <f t="shared" si="70"/>
        <v>0</v>
      </c>
      <c r="CW26" s="60">
        <v>62858</v>
      </c>
      <c r="CX26" s="60">
        <v>204446</v>
      </c>
      <c r="CY26" s="60">
        <f t="shared" si="67"/>
        <v>267304</v>
      </c>
    </row>
    <row r="27" spans="1:103" ht="15" customHeight="1" x14ac:dyDescent="0.25">
      <c r="A27" s="61" t="s">
        <v>199</v>
      </c>
      <c r="B27" s="60"/>
      <c r="C27" s="60"/>
      <c r="D27" s="60">
        <f t="shared" si="38"/>
        <v>0</v>
      </c>
      <c r="E27" s="60"/>
      <c r="F27" s="60"/>
      <c r="G27" s="60">
        <f t="shared" si="39"/>
        <v>0</v>
      </c>
      <c r="H27" s="60"/>
      <c r="I27" s="60"/>
      <c r="J27" s="60">
        <f t="shared" si="71"/>
        <v>0</v>
      </c>
      <c r="K27" s="60"/>
      <c r="L27" s="60"/>
      <c r="M27" s="60">
        <f t="shared" si="40"/>
        <v>0</v>
      </c>
      <c r="N27" s="60"/>
      <c r="O27" s="60"/>
      <c r="P27" s="60">
        <f t="shared" si="41"/>
        <v>0</v>
      </c>
      <c r="Q27" s="60"/>
      <c r="R27" s="60"/>
      <c r="S27" s="60">
        <f t="shared" si="42"/>
        <v>0</v>
      </c>
      <c r="T27" s="60"/>
      <c r="U27" s="60"/>
      <c r="V27" s="60">
        <f t="shared" si="43"/>
        <v>0</v>
      </c>
      <c r="W27" s="60"/>
      <c r="X27" s="60"/>
      <c r="Y27" s="60">
        <f t="shared" si="44"/>
        <v>0</v>
      </c>
      <c r="Z27" s="60">
        <v>20970</v>
      </c>
      <c r="AA27" s="60"/>
      <c r="AB27" s="60">
        <f t="shared" si="45"/>
        <v>20970</v>
      </c>
      <c r="AC27" s="60"/>
      <c r="AD27" s="60"/>
      <c r="AE27" s="60">
        <f t="shared" si="46"/>
        <v>0</v>
      </c>
      <c r="AF27" s="60"/>
      <c r="AG27" s="60"/>
      <c r="AH27" s="60">
        <f t="shared" si="47"/>
        <v>0</v>
      </c>
      <c r="AI27" s="60"/>
      <c r="AJ27" s="60"/>
      <c r="AK27" s="60">
        <f t="shared" si="48"/>
        <v>0</v>
      </c>
      <c r="AL27" s="60"/>
      <c r="AM27" s="60"/>
      <c r="AN27" s="60">
        <f t="shared" si="49"/>
        <v>0</v>
      </c>
      <c r="AO27" s="60"/>
      <c r="AP27" s="60"/>
      <c r="AQ27" s="60">
        <f t="shared" si="50"/>
        <v>0</v>
      </c>
      <c r="AR27" s="60"/>
      <c r="AS27" s="60"/>
      <c r="AT27" s="60">
        <f t="shared" si="51"/>
        <v>0</v>
      </c>
      <c r="AU27" s="60"/>
      <c r="AV27" s="60"/>
      <c r="AW27" s="60">
        <f t="shared" si="52"/>
        <v>0</v>
      </c>
      <c r="AX27" s="60"/>
      <c r="AY27" s="60"/>
      <c r="AZ27" s="60">
        <f t="shared" si="53"/>
        <v>0</v>
      </c>
      <c r="BA27" s="60">
        <v>2545</v>
      </c>
      <c r="BB27" s="60">
        <v>16768</v>
      </c>
      <c r="BC27" s="60">
        <f t="shared" si="54"/>
        <v>19313</v>
      </c>
      <c r="BD27" s="60"/>
      <c r="BE27" s="60"/>
      <c r="BF27" s="60">
        <f t="shared" si="55"/>
        <v>0</v>
      </c>
      <c r="BG27" s="60"/>
      <c r="BH27" s="60"/>
      <c r="BI27" s="60">
        <f t="shared" si="56"/>
        <v>0</v>
      </c>
      <c r="BJ27" s="60"/>
      <c r="BK27" s="60"/>
      <c r="BL27" s="60">
        <f t="shared" si="57"/>
        <v>0</v>
      </c>
      <c r="BM27" s="60"/>
      <c r="BN27" s="60"/>
      <c r="BO27" s="60">
        <f t="shared" si="58"/>
        <v>0</v>
      </c>
      <c r="BP27" s="60"/>
      <c r="BQ27" s="60"/>
      <c r="BR27" s="60">
        <v>820</v>
      </c>
      <c r="BS27" s="60"/>
      <c r="BT27" s="60"/>
      <c r="BU27" s="60">
        <f t="shared" si="59"/>
        <v>0</v>
      </c>
      <c r="BV27" s="60"/>
      <c r="BW27" s="60"/>
      <c r="BX27" s="60">
        <f t="shared" si="60"/>
        <v>0</v>
      </c>
      <c r="BY27" s="60"/>
      <c r="BZ27" s="60"/>
      <c r="CA27" s="60">
        <f t="shared" si="61"/>
        <v>0</v>
      </c>
      <c r="CB27" s="60"/>
      <c r="CC27" s="60"/>
      <c r="CD27" s="60">
        <f t="shared" si="69"/>
        <v>0</v>
      </c>
      <c r="CE27" s="60"/>
      <c r="CF27" s="60"/>
      <c r="CG27" s="60">
        <f t="shared" si="62"/>
        <v>0</v>
      </c>
      <c r="CH27" s="60"/>
      <c r="CI27" s="60"/>
      <c r="CJ27" s="60">
        <f t="shared" si="63"/>
        <v>0</v>
      </c>
      <c r="CK27" s="60"/>
      <c r="CL27" s="60"/>
      <c r="CM27" s="60">
        <f t="shared" si="64"/>
        <v>0</v>
      </c>
      <c r="CN27" s="60"/>
      <c r="CO27" s="60"/>
      <c r="CP27" s="60">
        <f t="shared" si="65"/>
        <v>0</v>
      </c>
      <c r="CQ27" s="60"/>
      <c r="CR27" s="60"/>
      <c r="CS27" s="60">
        <f t="shared" si="66"/>
        <v>0</v>
      </c>
      <c r="CT27" s="60"/>
      <c r="CU27" s="60"/>
      <c r="CV27" s="60">
        <f t="shared" si="70"/>
        <v>0</v>
      </c>
      <c r="CW27" s="60"/>
      <c r="CX27" s="60"/>
      <c r="CY27" s="60">
        <f t="shared" si="67"/>
        <v>0</v>
      </c>
    </row>
    <row r="28" spans="1:103" ht="15" customHeight="1" x14ac:dyDescent="0.25">
      <c r="A28" s="61" t="s">
        <v>200</v>
      </c>
      <c r="B28" s="60">
        <v>70005</v>
      </c>
      <c r="C28" s="60">
        <v>107308</v>
      </c>
      <c r="D28" s="60">
        <f t="shared" si="38"/>
        <v>177313</v>
      </c>
      <c r="E28" s="60">
        <v>100434</v>
      </c>
      <c r="F28" s="60">
        <v>525185</v>
      </c>
      <c r="G28" s="60">
        <f t="shared" si="39"/>
        <v>625619</v>
      </c>
      <c r="H28" s="60"/>
      <c r="I28" s="60"/>
      <c r="J28" s="60">
        <v>7120504</v>
      </c>
      <c r="K28" s="60"/>
      <c r="L28" s="60">
        <v>1317214</v>
      </c>
      <c r="M28" s="60">
        <f t="shared" si="40"/>
        <v>1317214</v>
      </c>
      <c r="N28" s="60"/>
      <c r="O28" s="60">
        <v>402500</v>
      </c>
      <c r="P28" s="60">
        <f t="shared" si="41"/>
        <v>402500</v>
      </c>
      <c r="Q28" s="60">
        <v>239368</v>
      </c>
      <c r="R28" s="60">
        <v>1648386</v>
      </c>
      <c r="S28" s="60">
        <f t="shared" si="42"/>
        <v>1887754</v>
      </c>
      <c r="T28" s="60">
        <v>127605</v>
      </c>
      <c r="U28" s="60">
        <v>1343761</v>
      </c>
      <c r="V28" s="60">
        <f t="shared" si="43"/>
        <v>1471366</v>
      </c>
      <c r="W28" s="60">
        <v>24169</v>
      </c>
      <c r="X28" s="60">
        <v>209683</v>
      </c>
      <c r="Y28" s="60">
        <f t="shared" si="44"/>
        <v>233852</v>
      </c>
      <c r="Z28" s="60"/>
      <c r="AA28" s="60">
        <v>19503</v>
      </c>
      <c r="AB28" s="60">
        <f t="shared" si="45"/>
        <v>19503</v>
      </c>
      <c r="AC28" s="60">
        <v>887572.21</v>
      </c>
      <c r="AD28" s="60">
        <v>1277238.05</v>
      </c>
      <c r="AE28" s="60">
        <f t="shared" si="46"/>
        <v>2164810.2599999998</v>
      </c>
      <c r="AF28" s="60">
        <v>237700</v>
      </c>
      <c r="AG28" s="60">
        <v>885133</v>
      </c>
      <c r="AH28" s="60">
        <f t="shared" si="47"/>
        <v>1122833</v>
      </c>
      <c r="AI28" s="60"/>
      <c r="AJ28" s="60"/>
      <c r="AK28" s="60">
        <f t="shared" si="48"/>
        <v>0</v>
      </c>
      <c r="AL28" s="60">
        <v>535002</v>
      </c>
      <c r="AM28" s="60">
        <v>2304192</v>
      </c>
      <c r="AN28" s="60">
        <f t="shared" si="49"/>
        <v>2839194</v>
      </c>
      <c r="AO28" s="60">
        <v>2439435</v>
      </c>
      <c r="AP28" s="60">
        <v>7360011</v>
      </c>
      <c r="AQ28" s="60">
        <f t="shared" si="50"/>
        <v>9799446</v>
      </c>
      <c r="AR28" s="60">
        <v>317608</v>
      </c>
      <c r="AS28" s="60">
        <v>1053702</v>
      </c>
      <c r="AT28" s="60">
        <f t="shared" si="51"/>
        <v>1371310</v>
      </c>
      <c r="AU28" s="60">
        <v>33645</v>
      </c>
      <c r="AV28" s="60">
        <v>91569</v>
      </c>
      <c r="AW28" s="60">
        <f t="shared" si="52"/>
        <v>125214</v>
      </c>
      <c r="AX28" s="60">
        <v>113214</v>
      </c>
      <c r="AY28" s="60">
        <v>296130</v>
      </c>
      <c r="AZ28" s="60">
        <f t="shared" si="53"/>
        <v>409344</v>
      </c>
      <c r="BA28" s="60">
        <v>202820</v>
      </c>
      <c r="BB28" s="60">
        <v>1336090</v>
      </c>
      <c r="BC28" s="60">
        <f t="shared" si="54"/>
        <v>1538910</v>
      </c>
      <c r="BD28" s="60">
        <v>112664</v>
      </c>
      <c r="BE28" s="60">
        <v>183732</v>
      </c>
      <c r="BF28" s="60">
        <f t="shared" si="55"/>
        <v>296396</v>
      </c>
      <c r="BG28" s="60">
        <v>430654</v>
      </c>
      <c r="BH28" s="60">
        <v>231287</v>
      </c>
      <c r="BI28" s="60">
        <f>BH28+BG28</f>
        <v>661941</v>
      </c>
      <c r="BJ28" s="60"/>
      <c r="BK28" s="60">
        <v>8889820</v>
      </c>
      <c r="BL28" s="60">
        <f t="shared" si="57"/>
        <v>8889820</v>
      </c>
      <c r="BM28" s="60">
        <v>2524531</v>
      </c>
      <c r="BN28" s="60">
        <v>5052047</v>
      </c>
      <c r="BO28" s="60">
        <f t="shared" si="58"/>
        <v>7576578</v>
      </c>
      <c r="BP28" s="60"/>
      <c r="BQ28" s="60"/>
      <c r="BR28" s="60">
        <v>11284711</v>
      </c>
      <c r="BS28" s="60">
        <v>114917</v>
      </c>
      <c r="BT28" s="60">
        <v>221403</v>
      </c>
      <c r="BU28" s="60">
        <f t="shared" si="59"/>
        <v>336320</v>
      </c>
      <c r="BV28" s="60">
        <v>11561</v>
      </c>
      <c r="BW28" s="60">
        <v>71578</v>
      </c>
      <c r="BX28" s="60">
        <f t="shared" si="60"/>
        <v>83139</v>
      </c>
      <c r="BY28" s="60"/>
      <c r="BZ28" s="60"/>
      <c r="CA28" s="60">
        <f t="shared" si="61"/>
        <v>0</v>
      </c>
      <c r="CB28" s="60"/>
      <c r="CC28" s="60"/>
      <c r="CD28" s="60">
        <v>1023598</v>
      </c>
      <c r="CE28" s="60">
        <v>61695</v>
      </c>
      <c r="CF28" s="60">
        <v>250047</v>
      </c>
      <c r="CG28" s="60">
        <f t="shared" si="62"/>
        <v>311742</v>
      </c>
      <c r="CH28" s="60"/>
      <c r="CI28" s="60">
        <v>1488063</v>
      </c>
      <c r="CJ28" s="60">
        <f t="shared" si="63"/>
        <v>1488063</v>
      </c>
      <c r="CK28" s="60"/>
      <c r="CL28" s="60">
        <v>895695</v>
      </c>
      <c r="CM28" s="60">
        <f t="shared" si="64"/>
        <v>895695</v>
      </c>
      <c r="CN28" s="60">
        <v>647104</v>
      </c>
      <c r="CO28" s="60">
        <v>1017120</v>
      </c>
      <c r="CP28" s="60">
        <f t="shared" si="65"/>
        <v>1664224</v>
      </c>
      <c r="CQ28" s="60">
        <v>628844</v>
      </c>
      <c r="CR28" s="60">
        <v>2399198</v>
      </c>
      <c r="CS28" s="60">
        <f t="shared" si="66"/>
        <v>3028042</v>
      </c>
      <c r="CT28" s="60"/>
      <c r="CU28" s="60"/>
      <c r="CV28" s="60">
        <v>12016189</v>
      </c>
      <c r="CW28" s="60">
        <v>70491</v>
      </c>
      <c r="CX28" s="60">
        <v>229272</v>
      </c>
      <c r="CY28" s="60">
        <f t="shared" si="67"/>
        <v>299763</v>
      </c>
    </row>
    <row r="29" spans="1:103" ht="15" customHeight="1" x14ac:dyDescent="0.25">
      <c r="A29" s="61" t="s">
        <v>201</v>
      </c>
      <c r="B29" s="60">
        <v>58875</v>
      </c>
      <c r="C29" s="60">
        <v>90247</v>
      </c>
      <c r="D29" s="60">
        <f t="shared" si="38"/>
        <v>149122</v>
      </c>
      <c r="E29" s="60">
        <v>148709</v>
      </c>
      <c r="F29" s="60">
        <v>199163</v>
      </c>
      <c r="G29" s="60">
        <f t="shared" si="39"/>
        <v>347872</v>
      </c>
      <c r="H29" s="60"/>
      <c r="I29" s="60"/>
      <c r="J29" s="60">
        <v>7414625</v>
      </c>
      <c r="K29" s="60"/>
      <c r="L29" s="60">
        <v>800172</v>
      </c>
      <c r="M29" s="60">
        <f t="shared" si="40"/>
        <v>800172</v>
      </c>
      <c r="N29" s="60">
        <v>496120</v>
      </c>
      <c r="O29" s="60">
        <v>7128292</v>
      </c>
      <c r="P29" s="60">
        <f t="shared" si="41"/>
        <v>7624412</v>
      </c>
      <c r="Q29" s="60">
        <v>233251</v>
      </c>
      <c r="R29" s="60">
        <v>1606265</v>
      </c>
      <c r="S29" s="60">
        <f t="shared" si="42"/>
        <v>1839516</v>
      </c>
      <c r="T29" s="60">
        <v>544255</v>
      </c>
      <c r="U29" s="60">
        <v>5731350</v>
      </c>
      <c r="V29" s="60">
        <f t="shared" si="43"/>
        <v>6275605</v>
      </c>
      <c r="W29" s="60"/>
      <c r="X29" s="60">
        <v>149244</v>
      </c>
      <c r="Y29" s="60">
        <f t="shared" si="44"/>
        <v>149244</v>
      </c>
      <c r="Z29" s="60">
        <v>49926</v>
      </c>
      <c r="AA29" s="60"/>
      <c r="AB29" s="60">
        <f t="shared" si="45"/>
        <v>49926</v>
      </c>
      <c r="AC29" s="60">
        <f>1801728.63+348591.03</f>
        <v>2150319.66</v>
      </c>
      <c r="AD29" s="60">
        <f>2592731.44+501630.99</f>
        <v>3094362.4299999997</v>
      </c>
      <c r="AE29" s="60">
        <f t="shared" si="46"/>
        <v>5244682.09</v>
      </c>
      <c r="AF29" s="60">
        <v>101835</v>
      </c>
      <c r="AG29" s="60">
        <v>379208</v>
      </c>
      <c r="AH29" s="60">
        <f t="shared" si="47"/>
        <v>481043</v>
      </c>
      <c r="AI29" s="60"/>
      <c r="AJ29" s="60">
        <v>99376</v>
      </c>
      <c r="AK29" s="60">
        <f t="shared" si="48"/>
        <v>99376</v>
      </c>
      <c r="AL29" s="60">
        <v>469602</v>
      </c>
      <c r="AM29" s="60">
        <v>2022521</v>
      </c>
      <c r="AN29" s="60">
        <f t="shared" si="49"/>
        <v>2492123</v>
      </c>
      <c r="AO29" s="60">
        <v>571286</v>
      </c>
      <c r="AP29" s="60">
        <v>1928466</v>
      </c>
      <c r="AQ29" s="60">
        <f t="shared" si="50"/>
        <v>2499752</v>
      </c>
      <c r="AR29" s="60">
        <v>742228</v>
      </c>
      <c r="AS29" s="60">
        <v>2462427</v>
      </c>
      <c r="AT29" s="60">
        <f t="shared" si="51"/>
        <v>3204655</v>
      </c>
      <c r="AU29" s="60">
        <v>53746</v>
      </c>
      <c r="AV29" s="60">
        <v>146276</v>
      </c>
      <c r="AW29" s="60">
        <f t="shared" si="52"/>
        <v>200022</v>
      </c>
      <c r="AX29" s="60">
        <v>883114</v>
      </c>
      <c r="AY29" s="60">
        <v>2460593</v>
      </c>
      <c r="AZ29" s="60">
        <f t="shared" si="53"/>
        <v>3343707</v>
      </c>
      <c r="BA29" s="60">
        <v>46127</v>
      </c>
      <c r="BB29" s="60">
        <v>303866</v>
      </c>
      <c r="BC29" s="60">
        <f t="shared" si="54"/>
        <v>349993</v>
      </c>
      <c r="BD29" s="60">
        <v>99974</v>
      </c>
      <c r="BE29" s="60">
        <v>249849</v>
      </c>
      <c r="BF29" s="60">
        <f t="shared" si="55"/>
        <v>349823</v>
      </c>
      <c r="BG29" s="60"/>
      <c r="BH29" s="60">
        <v>348096</v>
      </c>
      <c r="BI29" s="60">
        <f t="shared" si="56"/>
        <v>348096</v>
      </c>
      <c r="BJ29" s="60"/>
      <c r="BK29" s="60">
        <v>8405924</v>
      </c>
      <c r="BL29" s="60">
        <f t="shared" si="57"/>
        <v>8405924</v>
      </c>
      <c r="BM29" s="60">
        <v>2937176</v>
      </c>
      <c r="BN29" s="60">
        <v>5877825</v>
      </c>
      <c r="BO29" s="60">
        <f t="shared" si="58"/>
        <v>8815001</v>
      </c>
      <c r="BP29" s="60"/>
      <c r="BQ29" s="60"/>
      <c r="BR29" s="60">
        <v>4429500</v>
      </c>
      <c r="BS29" s="60">
        <v>136803</v>
      </c>
      <c r="BT29" s="60">
        <v>263570</v>
      </c>
      <c r="BU29" s="60">
        <f t="shared" si="59"/>
        <v>400373</v>
      </c>
      <c r="BV29" s="60">
        <v>1461708</v>
      </c>
      <c r="BW29" s="60">
        <v>9050078</v>
      </c>
      <c r="BX29" s="60">
        <f t="shared" si="60"/>
        <v>10511786</v>
      </c>
      <c r="BY29" s="60"/>
      <c r="BZ29" s="60"/>
      <c r="CA29" s="60">
        <f t="shared" si="61"/>
        <v>0</v>
      </c>
      <c r="CB29" s="60"/>
      <c r="CC29" s="60"/>
      <c r="CD29" s="60">
        <v>897186</v>
      </c>
      <c r="CE29" s="60">
        <v>960609</v>
      </c>
      <c r="CF29" s="60">
        <v>3893311</v>
      </c>
      <c r="CG29" s="60">
        <f t="shared" si="62"/>
        <v>4853920</v>
      </c>
      <c r="CH29" s="60">
        <v>100000</v>
      </c>
      <c r="CI29" s="60">
        <v>1936688</v>
      </c>
      <c r="CJ29" s="60">
        <f t="shared" si="63"/>
        <v>2036688</v>
      </c>
      <c r="CK29" s="60"/>
      <c r="CL29" s="60">
        <v>3832912</v>
      </c>
      <c r="CM29" s="60">
        <f t="shared" si="64"/>
        <v>3832912</v>
      </c>
      <c r="CN29" s="60"/>
      <c r="CO29" s="60"/>
      <c r="CP29" s="60">
        <f t="shared" si="65"/>
        <v>0</v>
      </c>
      <c r="CQ29" s="60">
        <v>467353</v>
      </c>
      <c r="CR29" s="60">
        <v>1783069</v>
      </c>
      <c r="CS29" s="60">
        <f t="shared" si="66"/>
        <v>2250422</v>
      </c>
      <c r="CT29" s="60"/>
      <c r="CU29" s="60"/>
      <c r="CV29" s="60">
        <v>4107693</v>
      </c>
      <c r="CW29" s="60">
        <v>601612</v>
      </c>
      <c r="CX29" s="60">
        <v>1956754</v>
      </c>
      <c r="CY29" s="60">
        <f t="shared" si="67"/>
        <v>2558366</v>
      </c>
    </row>
    <row r="30" spans="1:103" ht="15" customHeight="1" x14ac:dyDescent="0.25">
      <c r="A30" s="61" t="s">
        <v>211</v>
      </c>
      <c r="B30" s="60"/>
      <c r="C30" s="60"/>
      <c r="D30" s="60">
        <f t="shared" si="38"/>
        <v>0</v>
      </c>
      <c r="E30" s="60"/>
      <c r="F30" s="60"/>
      <c r="G30" s="60">
        <f t="shared" si="39"/>
        <v>0</v>
      </c>
      <c r="H30" s="60"/>
      <c r="I30" s="60"/>
      <c r="J30" s="60">
        <f t="shared" si="71"/>
        <v>0</v>
      </c>
      <c r="K30" s="60"/>
      <c r="L30" s="60"/>
      <c r="M30" s="60">
        <f t="shared" si="40"/>
        <v>0</v>
      </c>
      <c r="N30" s="60"/>
      <c r="O30" s="60"/>
      <c r="P30" s="60">
        <f t="shared" si="41"/>
        <v>0</v>
      </c>
      <c r="Q30" s="60"/>
      <c r="R30" s="60"/>
      <c r="S30" s="60">
        <f t="shared" si="42"/>
        <v>0</v>
      </c>
      <c r="T30" s="60"/>
      <c r="U30" s="60"/>
      <c r="V30" s="60">
        <f t="shared" si="43"/>
        <v>0</v>
      </c>
      <c r="W30" s="60"/>
      <c r="X30" s="60"/>
      <c r="Y30" s="60">
        <f t="shared" si="44"/>
        <v>0</v>
      </c>
      <c r="Z30" s="60"/>
      <c r="AA30" s="60"/>
      <c r="AB30" s="60">
        <f t="shared" si="45"/>
        <v>0</v>
      </c>
      <c r="AC30" s="60"/>
      <c r="AD30" s="60"/>
      <c r="AE30" s="60">
        <f t="shared" si="46"/>
        <v>0</v>
      </c>
      <c r="AF30" s="60"/>
      <c r="AG30" s="60"/>
      <c r="AH30" s="60">
        <f t="shared" si="47"/>
        <v>0</v>
      </c>
      <c r="AI30" s="60"/>
      <c r="AJ30" s="60"/>
      <c r="AK30" s="60">
        <f t="shared" si="48"/>
        <v>0</v>
      </c>
      <c r="AL30" s="60"/>
      <c r="AM30" s="60"/>
      <c r="AN30" s="60">
        <f t="shared" si="49"/>
        <v>0</v>
      </c>
      <c r="AO30" s="60"/>
      <c r="AP30" s="60"/>
      <c r="AQ30" s="60">
        <f t="shared" si="50"/>
        <v>0</v>
      </c>
      <c r="AR30" s="60">
        <v>579318</v>
      </c>
      <c r="AS30" s="60">
        <v>1921956</v>
      </c>
      <c r="AT30" s="60">
        <f t="shared" si="51"/>
        <v>2501274</v>
      </c>
      <c r="AU30" s="60"/>
      <c r="AV30" s="60"/>
      <c r="AW30" s="60">
        <f t="shared" si="52"/>
        <v>0</v>
      </c>
      <c r="AX30" s="60"/>
      <c r="AY30" s="60"/>
      <c r="AZ30" s="60">
        <f t="shared" si="53"/>
        <v>0</v>
      </c>
      <c r="BA30" s="60"/>
      <c r="BB30" s="60"/>
      <c r="BC30" s="60">
        <f t="shared" si="54"/>
        <v>0</v>
      </c>
      <c r="BD30" s="60"/>
      <c r="BE30" s="60"/>
      <c r="BF30" s="60">
        <f t="shared" si="55"/>
        <v>0</v>
      </c>
      <c r="BG30" s="60"/>
      <c r="BH30" s="60"/>
      <c r="BI30" s="60">
        <f t="shared" si="56"/>
        <v>0</v>
      </c>
      <c r="BJ30" s="60"/>
      <c r="BK30" s="60"/>
      <c r="BL30" s="60">
        <f t="shared" si="57"/>
        <v>0</v>
      </c>
      <c r="BM30" s="60"/>
      <c r="BN30" s="60"/>
      <c r="BO30" s="60">
        <f t="shared" si="58"/>
        <v>0</v>
      </c>
      <c r="BP30" s="60"/>
      <c r="BQ30" s="60"/>
      <c r="BR30" s="60">
        <f t="shared" si="68"/>
        <v>0</v>
      </c>
      <c r="BS30" s="60"/>
      <c r="BT30" s="60"/>
      <c r="BU30" s="60">
        <f t="shared" si="59"/>
        <v>0</v>
      </c>
      <c r="BV30" s="60"/>
      <c r="BW30" s="60"/>
      <c r="BX30" s="60">
        <f t="shared" si="60"/>
        <v>0</v>
      </c>
      <c r="BY30" s="60"/>
      <c r="BZ30" s="60"/>
      <c r="CA30" s="60">
        <f t="shared" si="61"/>
        <v>0</v>
      </c>
      <c r="CB30" s="60"/>
      <c r="CC30" s="60"/>
      <c r="CD30" s="60">
        <f t="shared" si="69"/>
        <v>0</v>
      </c>
      <c r="CE30" s="60"/>
      <c r="CF30" s="60"/>
      <c r="CG30" s="60">
        <f t="shared" si="62"/>
        <v>0</v>
      </c>
      <c r="CH30" s="60"/>
      <c r="CI30" s="60"/>
      <c r="CJ30" s="60">
        <f t="shared" si="63"/>
        <v>0</v>
      </c>
      <c r="CK30" s="60"/>
      <c r="CL30" s="60"/>
      <c r="CM30" s="60">
        <f t="shared" si="64"/>
        <v>0</v>
      </c>
      <c r="CN30" s="60"/>
      <c r="CO30" s="60"/>
      <c r="CP30" s="60">
        <f t="shared" si="65"/>
        <v>0</v>
      </c>
      <c r="CQ30" s="60"/>
      <c r="CR30" s="60"/>
      <c r="CS30" s="60">
        <f t="shared" si="66"/>
        <v>0</v>
      </c>
      <c r="CT30" s="60"/>
      <c r="CU30" s="60"/>
      <c r="CV30" s="60">
        <f t="shared" si="70"/>
        <v>0</v>
      </c>
      <c r="CW30" s="60"/>
      <c r="CX30" s="60"/>
      <c r="CY30" s="60">
        <f t="shared" si="67"/>
        <v>0</v>
      </c>
    </row>
    <row r="31" spans="1:103" ht="15" customHeight="1" x14ac:dyDescent="0.25">
      <c r="A31" s="61" t="s">
        <v>212</v>
      </c>
      <c r="B31" s="60">
        <v>30273</v>
      </c>
      <c r="C31" s="60">
        <v>46405</v>
      </c>
      <c r="D31" s="60">
        <f t="shared" si="38"/>
        <v>76678</v>
      </c>
      <c r="E31" s="60"/>
      <c r="F31" s="60">
        <v>37500</v>
      </c>
      <c r="G31" s="60">
        <f t="shared" si="39"/>
        <v>37500</v>
      </c>
      <c r="H31" s="60"/>
      <c r="I31" s="60"/>
      <c r="J31" s="60">
        <v>11536994</v>
      </c>
      <c r="K31" s="60"/>
      <c r="L31" s="60"/>
      <c r="M31" s="60">
        <f t="shared" si="40"/>
        <v>0</v>
      </c>
      <c r="N31" s="60"/>
      <c r="O31" s="60">
        <v>41667</v>
      </c>
      <c r="P31" s="60">
        <f t="shared" si="41"/>
        <v>41667</v>
      </c>
      <c r="Q31" s="60">
        <v>31700</v>
      </c>
      <c r="R31" s="60">
        <v>218300</v>
      </c>
      <c r="S31" s="60">
        <f t="shared" si="42"/>
        <v>250000</v>
      </c>
      <c r="T31" s="60"/>
      <c r="U31" s="60"/>
      <c r="V31" s="60">
        <f t="shared" si="43"/>
        <v>0</v>
      </c>
      <c r="W31" s="60"/>
      <c r="X31" s="60"/>
      <c r="Y31" s="60">
        <f t="shared" si="44"/>
        <v>0</v>
      </c>
      <c r="Z31" s="60">
        <v>931</v>
      </c>
      <c r="AA31" s="60"/>
      <c r="AB31" s="60">
        <f t="shared" si="45"/>
        <v>931</v>
      </c>
      <c r="AC31" s="60"/>
      <c r="AD31" s="60"/>
      <c r="AE31" s="60">
        <f t="shared" si="46"/>
        <v>0</v>
      </c>
      <c r="AF31" s="60">
        <v>186340</v>
      </c>
      <c r="AG31" s="60">
        <v>693881</v>
      </c>
      <c r="AH31" s="60">
        <f t="shared" si="47"/>
        <v>880221</v>
      </c>
      <c r="AI31" s="60"/>
      <c r="AJ31" s="60"/>
      <c r="AK31" s="60">
        <f t="shared" si="48"/>
        <v>0</v>
      </c>
      <c r="AL31" s="60">
        <v>269077</v>
      </c>
      <c r="AM31" s="60">
        <v>1158883</v>
      </c>
      <c r="AN31" s="60">
        <f t="shared" si="49"/>
        <v>1427960</v>
      </c>
      <c r="AO31" s="60"/>
      <c r="AP31" s="60"/>
      <c r="AQ31" s="60">
        <f t="shared" si="50"/>
        <v>0</v>
      </c>
      <c r="AR31" s="60"/>
      <c r="AS31" s="60"/>
      <c r="AT31" s="60">
        <f t="shared" si="51"/>
        <v>0</v>
      </c>
      <c r="AU31" s="60"/>
      <c r="AV31" s="60"/>
      <c r="AW31" s="60">
        <f t="shared" si="52"/>
        <v>0</v>
      </c>
      <c r="AX31" s="60"/>
      <c r="AY31" s="60"/>
      <c r="AZ31" s="60">
        <f t="shared" si="53"/>
        <v>0</v>
      </c>
      <c r="BA31" s="60">
        <v>46326</v>
      </c>
      <c r="BB31" s="60">
        <v>305174</v>
      </c>
      <c r="BC31" s="60">
        <f t="shared" si="54"/>
        <v>351500</v>
      </c>
      <c r="BD31" s="60"/>
      <c r="BE31" s="60"/>
      <c r="BF31" s="60">
        <f t="shared" si="55"/>
        <v>0</v>
      </c>
      <c r="BG31" s="60"/>
      <c r="BH31" s="60"/>
      <c r="BI31" s="60">
        <f t="shared" si="56"/>
        <v>0</v>
      </c>
      <c r="BJ31" s="60"/>
      <c r="BK31" s="60">
        <v>3307000</v>
      </c>
      <c r="BL31" s="60">
        <f t="shared" si="57"/>
        <v>3307000</v>
      </c>
      <c r="BM31" s="60"/>
      <c r="BN31" s="60"/>
      <c r="BO31" s="60">
        <f t="shared" si="58"/>
        <v>0</v>
      </c>
      <c r="BP31" s="60"/>
      <c r="BQ31" s="60"/>
      <c r="BR31" s="60">
        <f t="shared" si="68"/>
        <v>0</v>
      </c>
      <c r="BS31" s="60"/>
      <c r="BT31" s="60"/>
      <c r="BU31" s="60">
        <f t="shared" si="59"/>
        <v>0</v>
      </c>
      <c r="BV31" s="60">
        <v>268653</v>
      </c>
      <c r="BW31" s="60">
        <v>1663347</v>
      </c>
      <c r="BX31" s="60">
        <f t="shared" si="60"/>
        <v>1932000</v>
      </c>
      <c r="BY31" s="60"/>
      <c r="BZ31" s="60"/>
      <c r="CA31" s="60">
        <f t="shared" si="61"/>
        <v>0</v>
      </c>
      <c r="CB31" s="60"/>
      <c r="CC31" s="60"/>
      <c r="CD31" s="60">
        <f t="shared" si="69"/>
        <v>0</v>
      </c>
      <c r="CE31" s="60"/>
      <c r="CF31" s="60"/>
      <c r="CG31" s="60">
        <f t="shared" si="62"/>
        <v>0</v>
      </c>
      <c r="CH31" s="60"/>
      <c r="CI31" s="60">
        <f>1465381+245369</f>
        <v>1710750</v>
      </c>
      <c r="CJ31" s="60">
        <f t="shared" si="63"/>
        <v>1710750</v>
      </c>
      <c r="CK31" s="60"/>
      <c r="CL31" s="60"/>
      <c r="CM31" s="60">
        <f t="shared" si="64"/>
        <v>0</v>
      </c>
      <c r="CN31" s="60"/>
      <c r="CO31" s="60"/>
      <c r="CP31" s="60">
        <f t="shared" si="65"/>
        <v>0</v>
      </c>
      <c r="CQ31" s="60">
        <v>711264</v>
      </c>
      <c r="CR31" s="60">
        <v>2713651</v>
      </c>
      <c r="CS31" s="60">
        <f t="shared" si="66"/>
        <v>3424915</v>
      </c>
      <c r="CT31" s="60"/>
      <c r="CU31" s="60"/>
      <c r="CV31" s="60">
        <f t="shared" si="70"/>
        <v>0</v>
      </c>
      <c r="CW31" s="60">
        <v>25867</v>
      </c>
      <c r="CX31" s="60">
        <v>84133</v>
      </c>
      <c r="CY31" s="60">
        <f t="shared" si="67"/>
        <v>110000</v>
      </c>
    </row>
    <row r="32" spans="1:103" ht="15" customHeight="1" x14ac:dyDescent="0.25">
      <c r="A32" s="61" t="s">
        <v>213</v>
      </c>
      <c r="B32" s="60"/>
      <c r="C32" s="60"/>
      <c r="D32" s="60">
        <f t="shared" si="38"/>
        <v>0</v>
      </c>
      <c r="E32" s="60"/>
      <c r="F32" s="60"/>
      <c r="G32" s="60">
        <f t="shared" si="39"/>
        <v>0</v>
      </c>
      <c r="H32" s="60"/>
      <c r="I32" s="60"/>
      <c r="J32" s="60">
        <f t="shared" si="71"/>
        <v>0</v>
      </c>
      <c r="K32" s="60"/>
      <c r="L32" s="60"/>
      <c r="M32" s="60">
        <f t="shared" si="40"/>
        <v>0</v>
      </c>
      <c r="N32" s="60"/>
      <c r="O32" s="60"/>
      <c r="P32" s="60">
        <f t="shared" si="41"/>
        <v>0</v>
      </c>
      <c r="Q32" s="60"/>
      <c r="R32" s="60"/>
      <c r="S32" s="60">
        <f t="shared" si="42"/>
        <v>0</v>
      </c>
      <c r="T32" s="60"/>
      <c r="U32" s="60"/>
      <c r="V32" s="60">
        <f t="shared" si="43"/>
        <v>0</v>
      </c>
      <c r="W32" s="60"/>
      <c r="X32" s="60">
        <v>180000</v>
      </c>
      <c r="Y32" s="60">
        <f t="shared" si="44"/>
        <v>180000</v>
      </c>
      <c r="Z32" s="60"/>
      <c r="AA32" s="60"/>
      <c r="AB32" s="60">
        <f t="shared" si="45"/>
        <v>0</v>
      </c>
      <c r="AC32" s="60"/>
      <c r="AD32" s="60"/>
      <c r="AE32" s="60">
        <f t="shared" si="46"/>
        <v>0</v>
      </c>
      <c r="AF32" s="60"/>
      <c r="AG32" s="60"/>
      <c r="AH32" s="60">
        <f t="shared" si="47"/>
        <v>0</v>
      </c>
      <c r="AI32" s="60"/>
      <c r="AJ32" s="60"/>
      <c r="AK32" s="60">
        <f t="shared" si="48"/>
        <v>0</v>
      </c>
      <c r="AL32" s="60"/>
      <c r="AM32" s="60"/>
      <c r="AN32" s="60">
        <f t="shared" si="49"/>
        <v>0</v>
      </c>
      <c r="AO32" s="60"/>
      <c r="AP32" s="60"/>
      <c r="AQ32" s="60">
        <f t="shared" si="50"/>
        <v>0</v>
      </c>
      <c r="AR32" s="60"/>
      <c r="AS32" s="60"/>
      <c r="AT32" s="60">
        <f t="shared" si="51"/>
        <v>0</v>
      </c>
      <c r="AU32" s="60"/>
      <c r="AV32" s="60"/>
      <c r="AW32" s="60">
        <f t="shared" si="52"/>
        <v>0</v>
      </c>
      <c r="AX32" s="60"/>
      <c r="AY32" s="60"/>
      <c r="AZ32" s="60">
        <f t="shared" si="53"/>
        <v>0</v>
      </c>
      <c r="BA32" s="60"/>
      <c r="BB32" s="60"/>
      <c r="BC32" s="60">
        <f t="shared" si="54"/>
        <v>0</v>
      </c>
      <c r="BD32" s="60"/>
      <c r="BE32" s="60"/>
      <c r="BF32" s="60">
        <f t="shared" si="55"/>
        <v>0</v>
      </c>
      <c r="BG32" s="60">
        <v>194107</v>
      </c>
      <c r="BH32" s="60">
        <v>904687</v>
      </c>
      <c r="BI32" s="60">
        <f>BH32+BG32</f>
        <v>1098794</v>
      </c>
      <c r="BJ32" s="60"/>
      <c r="BK32" s="60"/>
      <c r="BL32" s="60">
        <f t="shared" si="57"/>
        <v>0</v>
      </c>
      <c r="BM32" s="60"/>
      <c r="BN32" s="60"/>
      <c r="BO32" s="60">
        <f t="shared" si="58"/>
        <v>0</v>
      </c>
      <c r="BP32" s="60"/>
      <c r="BQ32" s="60"/>
      <c r="BR32" s="60">
        <f t="shared" si="68"/>
        <v>0</v>
      </c>
      <c r="BS32" s="60">
        <v>12198</v>
      </c>
      <c r="BT32" s="60">
        <v>23502</v>
      </c>
      <c r="BU32" s="60">
        <f t="shared" si="59"/>
        <v>35700</v>
      </c>
      <c r="BV32" s="60"/>
      <c r="BW32" s="60"/>
      <c r="BX32" s="60">
        <f t="shared" si="60"/>
        <v>0</v>
      </c>
      <c r="BY32" s="60"/>
      <c r="BZ32" s="60"/>
      <c r="CA32" s="60">
        <f t="shared" si="61"/>
        <v>0</v>
      </c>
      <c r="CB32" s="60"/>
      <c r="CC32" s="60"/>
      <c r="CD32" s="60">
        <f t="shared" si="69"/>
        <v>0</v>
      </c>
      <c r="CE32" s="60">
        <v>29686</v>
      </c>
      <c r="CF32" s="60">
        <v>120314</v>
      </c>
      <c r="CG32" s="60">
        <f t="shared" si="62"/>
        <v>150000</v>
      </c>
      <c r="CH32" s="60"/>
      <c r="CI32" s="60"/>
      <c r="CJ32" s="60">
        <f t="shared" si="63"/>
        <v>0</v>
      </c>
      <c r="CK32" s="60"/>
      <c r="CL32" s="60"/>
      <c r="CM32" s="60">
        <f t="shared" si="64"/>
        <v>0</v>
      </c>
      <c r="CN32" s="60"/>
      <c r="CO32" s="60"/>
      <c r="CP32" s="60">
        <f t="shared" si="65"/>
        <v>0</v>
      </c>
      <c r="CQ32" s="60"/>
      <c r="CR32" s="60"/>
      <c r="CS32" s="60">
        <f t="shared" si="66"/>
        <v>0</v>
      </c>
      <c r="CT32" s="60"/>
      <c r="CU32" s="60"/>
      <c r="CV32" s="60">
        <f t="shared" si="70"/>
        <v>0</v>
      </c>
      <c r="CW32" s="60"/>
      <c r="CX32" s="60"/>
      <c r="CY32" s="60">
        <f t="shared" si="67"/>
        <v>0</v>
      </c>
    </row>
    <row r="33" spans="1:103" ht="15" customHeight="1" x14ac:dyDescent="0.25">
      <c r="A33" s="61" t="s">
        <v>214</v>
      </c>
      <c r="B33" s="60"/>
      <c r="C33" s="60"/>
      <c r="D33" s="60">
        <f t="shared" si="38"/>
        <v>0</v>
      </c>
      <c r="E33" s="60"/>
      <c r="F33" s="60"/>
      <c r="G33" s="60">
        <f t="shared" si="39"/>
        <v>0</v>
      </c>
      <c r="H33" s="60"/>
      <c r="I33" s="60"/>
      <c r="J33" s="60">
        <f t="shared" si="71"/>
        <v>0</v>
      </c>
      <c r="K33" s="60"/>
      <c r="L33" s="60"/>
      <c r="M33" s="60">
        <f t="shared" si="40"/>
        <v>0</v>
      </c>
      <c r="N33" s="60"/>
      <c r="O33" s="60"/>
      <c r="P33" s="60">
        <f t="shared" si="41"/>
        <v>0</v>
      </c>
      <c r="Q33" s="60"/>
      <c r="R33" s="60"/>
      <c r="S33" s="60">
        <f t="shared" si="42"/>
        <v>0</v>
      </c>
      <c r="T33" s="60"/>
      <c r="U33" s="60"/>
      <c r="V33" s="60">
        <f t="shared" si="43"/>
        <v>0</v>
      </c>
      <c r="W33" s="60"/>
      <c r="X33" s="60"/>
      <c r="Y33" s="60">
        <f t="shared" si="44"/>
        <v>0</v>
      </c>
      <c r="Z33" s="60"/>
      <c r="AA33" s="60"/>
      <c r="AB33" s="60">
        <f t="shared" si="45"/>
        <v>0</v>
      </c>
      <c r="AC33" s="60"/>
      <c r="AD33" s="60"/>
      <c r="AE33" s="60">
        <f t="shared" si="46"/>
        <v>0</v>
      </c>
      <c r="AF33" s="60"/>
      <c r="AG33" s="60"/>
      <c r="AH33" s="60">
        <f t="shared" si="47"/>
        <v>0</v>
      </c>
      <c r="AI33" s="60"/>
      <c r="AJ33" s="60"/>
      <c r="AK33" s="60">
        <f t="shared" si="48"/>
        <v>0</v>
      </c>
      <c r="AL33" s="60"/>
      <c r="AM33" s="60"/>
      <c r="AN33" s="60">
        <f t="shared" si="49"/>
        <v>0</v>
      </c>
      <c r="AO33" s="60"/>
      <c r="AP33" s="60"/>
      <c r="AQ33" s="60">
        <f t="shared" si="50"/>
        <v>0</v>
      </c>
      <c r="AR33" s="60"/>
      <c r="AS33" s="60"/>
      <c r="AT33" s="60">
        <f t="shared" si="51"/>
        <v>0</v>
      </c>
      <c r="AU33" s="60"/>
      <c r="AV33" s="60"/>
      <c r="AW33" s="60">
        <f t="shared" si="52"/>
        <v>0</v>
      </c>
      <c r="AX33" s="60"/>
      <c r="AY33" s="60"/>
      <c r="AZ33" s="60">
        <f t="shared" si="53"/>
        <v>0</v>
      </c>
      <c r="BA33" s="60"/>
      <c r="BB33" s="60"/>
      <c r="BC33" s="60">
        <f t="shared" si="54"/>
        <v>0</v>
      </c>
      <c r="BD33" s="60"/>
      <c r="BE33" s="60"/>
      <c r="BF33" s="60">
        <f t="shared" si="55"/>
        <v>0</v>
      </c>
      <c r="BG33" s="60"/>
      <c r="BH33" s="60"/>
      <c r="BI33" s="60">
        <f t="shared" si="56"/>
        <v>0</v>
      </c>
      <c r="BJ33" s="60"/>
      <c r="BK33" s="60"/>
      <c r="BL33" s="60">
        <f t="shared" si="57"/>
        <v>0</v>
      </c>
      <c r="BM33" s="60"/>
      <c r="BN33" s="60"/>
      <c r="BO33" s="60">
        <f t="shared" si="58"/>
        <v>0</v>
      </c>
      <c r="BP33" s="60"/>
      <c r="BQ33" s="60"/>
      <c r="BR33" s="60">
        <f t="shared" si="68"/>
        <v>0</v>
      </c>
      <c r="BS33" s="60"/>
      <c r="BT33" s="60"/>
      <c r="BU33" s="60">
        <f t="shared" si="59"/>
        <v>0</v>
      </c>
      <c r="BV33" s="60"/>
      <c r="BW33" s="60"/>
      <c r="BX33" s="60">
        <f t="shared" si="60"/>
        <v>0</v>
      </c>
      <c r="BY33" s="60"/>
      <c r="BZ33" s="60"/>
      <c r="CA33" s="60">
        <f t="shared" si="61"/>
        <v>0</v>
      </c>
      <c r="CB33" s="60"/>
      <c r="CC33" s="60"/>
      <c r="CD33" s="60">
        <f t="shared" si="69"/>
        <v>0</v>
      </c>
      <c r="CE33" s="60"/>
      <c r="CF33" s="60"/>
      <c r="CG33" s="60">
        <f t="shared" si="62"/>
        <v>0</v>
      </c>
      <c r="CH33" s="60"/>
      <c r="CI33" s="60"/>
      <c r="CJ33" s="60">
        <f t="shared" si="63"/>
        <v>0</v>
      </c>
      <c r="CK33" s="60"/>
      <c r="CL33" s="60"/>
      <c r="CM33" s="60">
        <f t="shared" si="64"/>
        <v>0</v>
      </c>
      <c r="CN33" s="60"/>
      <c r="CO33" s="60"/>
      <c r="CP33" s="60">
        <f t="shared" si="65"/>
        <v>0</v>
      </c>
      <c r="CQ33" s="60"/>
      <c r="CR33" s="60"/>
      <c r="CS33" s="60">
        <f t="shared" si="66"/>
        <v>0</v>
      </c>
      <c r="CT33" s="60"/>
      <c r="CU33" s="60"/>
      <c r="CV33" s="60">
        <f t="shared" si="70"/>
        <v>0</v>
      </c>
      <c r="CW33" s="60"/>
      <c r="CX33" s="60"/>
      <c r="CY33" s="60">
        <f t="shared" si="67"/>
        <v>0</v>
      </c>
    </row>
    <row r="34" spans="1:103" ht="15" customHeight="1" x14ac:dyDescent="0.25">
      <c r="A34" s="61" t="s">
        <v>206</v>
      </c>
      <c r="B34" s="60">
        <f>19815+14805</f>
        <v>34620</v>
      </c>
      <c r="C34" s="60">
        <f>30373+22695</f>
        <v>53068</v>
      </c>
      <c r="D34" s="60">
        <f t="shared" si="38"/>
        <v>87688</v>
      </c>
      <c r="E34" s="60"/>
      <c r="F34" s="60">
        <f>250852+249509</f>
        <v>500361</v>
      </c>
      <c r="G34" s="60">
        <f t="shared" si="39"/>
        <v>500361</v>
      </c>
      <c r="H34" s="60"/>
      <c r="I34" s="60"/>
      <c r="J34" s="60">
        <v>1399909</v>
      </c>
      <c r="K34" s="60"/>
      <c r="L34" s="60">
        <v>795505</v>
      </c>
      <c r="M34" s="60">
        <f t="shared" si="40"/>
        <v>795505</v>
      </c>
      <c r="N34" s="60">
        <v>3143969</v>
      </c>
      <c r="O34" s="60">
        <v>15346621</v>
      </c>
      <c r="P34" s="60">
        <f t="shared" si="41"/>
        <v>18490590</v>
      </c>
      <c r="Q34" s="60">
        <v>360571</v>
      </c>
      <c r="R34" s="60">
        <v>2483050</v>
      </c>
      <c r="S34" s="60">
        <f t="shared" si="42"/>
        <v>2843621</v>
      </c>
      <c r="T34" s="60">
        <v>153515</v>
      </c>
      <c r="U34" s="60">
        <v>1616616</v>
      </c>
      <c r="V34" s="60">
        <f t="shared" si="43"/>
        <v>1770131</v>
      </c>
      <c r="W34" s="60"/>
      <c r="X34" s="60"/>
      <c r="Y34" s="60">
        <f t="shared" si="44"/>
        <v>0</v>
      </c>
      <c r="Z34" s="60">
        <v>107751</v>
      </c>
      <c r="AA34" s="60"/>
      <c r="AB34" s="60">
        <f t="shared" si="45"/>
        <v>107751</v>
      </c>
      <c r="AC34" s="60">
        <v>623450.16</v>
      </c>
      <c r="AD34" s="60">
        <v>897159.99</v>
      </c>
      <c r="AE34" s="60">
        <f t="shared" si="46"/>
        <v>1520610.15</v>
      </c>
      <c r="AF34" s="60">
        <v>219085</v>
      </c>
      <c r="AG34" s="60">
        <v>815819</v>
      </c>
      <c r="AH34" s="60">
        <f t="shared" si="47"/>
        <v>1034904</v>
      </c>
      <c r="AI34" s="60">
        <v>200314</v>
      </c>
      <c r="AJ34" s="60">
        <v>1505910</v>
      </c>
      <c r="AK34" s="60">
        <f t="shared" si="48"/>
        <v>1706224</v>
      </c>
      <c r="AL34" s="60">
        <v>1192455</v>
      </c>
      <c r="AM34" s="60">
        <v>5135762</v>
      </c>
      <c r="AN34" s="60">
        <f t="shared" si="49"/>
        <v>6328217</v>
      </c>
      <c r="AO34" s="60">
        <v>946576</v>
      </c>
      <c r="AP34" s="60">
        <v>3195315</v>
      </c>
      <c r="AQ34" s="60">
        <f t="shared" si="50"/>
        <v>4141891</v>
      </c>
      <c r="AR34" s="60">
        <v>383358</v>
      </c>
      <c r="AS34" s="60">
        <v>1271834</v>
      </c>
      <c r="AT34" s="60">
        <f t="shared" si="51"/>
        <v>1655192</v>
      </c>
      <c r="AU34" s="60"/>
      <c r="AV34" s="60"/>
      <c r="AW34" s="60">
        <f t="shared" si="52"/>
        <v>0</v>
      </c>
      <c r="AX34" s="60">
        <v>371179</v>
      </c>
      <c r="AY34" s="60">
        <v>1034205</v>
      </c>
      <c r="AZ34" s="60">
        <f t="shared" si="53"/>
        <v>1405384</v>
      </c>
      <c r="BA34" s="60"/>
      <c r="BB34" s="60"/>
      <c r="BC34" s="60">
        <f t="shared" si="54"/>
        <v>0</v>
      </c>
      <c r="BD34" s="60">
        <v>151514</v>
      </c>
      <c r="BE34" s="60">
        <v>300741</v>
      </c>
      <c r="BF34" s="60">
        <f t="shared" si="55"/>
        <v>452255</v>
      </c>
      <c r="BG34" s="60">
        <v>49975</v>
      </c>
      <c r="BH34" s="60">
        <v>200847</v>
      </c>
      <c r="BI34" s="60">
        <f t="shared" si="56"/>
        <v>250822</v>
      </c>
      <c r="BJ34" s="60"/>
      <c r="BK34" s="60">
        <v>3367143</v>
      </c>
      <c r="BL34" s="60">
        <f t="shared" si="57"/>
        <v>3367143</v>
      </c>
      <c r="BM34" s="60">
        <v>5902921</v>
      </c>
      <c r="BN34" s="60">
        <v>11812824</v>
      </c>
      <c r="BO34" s="60">
        <f t="shared" si="58"/>
        <v>17715745</v>
      </c>
      <c r="BP34" s="60"/>
      <c r="BQ34" s="60"/>
      <c r="BR34" s="60">
        <v>7660256</v>
      </c>
      <c r="BS34" s="60">
        <v>51631</v>
      </c>
      <c r="BT34" s="60">
        <v>99475</v>
      </c>
      <c r="BU34" s="60">
        <f t="shared" si="59"/>
        <v>151106</v>
      </c>
      <c r="BV34" s="60">
        <v>202685</v>
      </c>
      <c r="BW34" s="60">
        <v>1254915</v>
      </c>
      <c r="BX34" s="60">
        <f t="shared" si="60"/>
        <v>1457600</v>
      </c>
      <c r="BY34" s="60"/>
      <c r="BZ34" s="60"/>
      <c r="CA34" s="60">
        <f t="shared" si="61"/>
        <v>0</v>
      </c>
      <c r="CB34" s="60"/>
      <c r="CC34" s="60"/>
      <c r="CD34" s="60">
        <v>901309</v>
      </c>
      <c r="CE34" s="60">
        <v>602737</v>
      </c>
      <c r="CF34" s="60">
        <v>2442872</v>
      </c>
      <c r="CG34" s="60">
        <f t="shared" si="62"/>
        <v>3045609</v>
      </c>
      <c r="CH34" s="60">
        <v>150000</v>
      </c>
      <c r="CI34" s="60">
        <f>6142850-150073</f>
        <v>5992777</v>
      </c>
      <c r="CJ34" s="60">
        <f t="shared" si="63"/>
        <v>6142777</v>
      </c>
      <c r="CK34" s="60">
        <v>149900</v>
      </c>
      <c r="CL34" s="60">
        <v>11093644</v>
      </c>
      <c r="CM34" s="60">
        <f t="shared" si="64"/>
        <v>11243544</v>
      </c>
      <c r="CN34" s="60">
        <v>180857</v>
      </c>
      <c r="CO34" s="60">
        <v>284271</v>
      </c>
      <c r="CP34" s="60">
        <f t="shared" si="65"/>
        <v>465128</v>
      </c>
      <c r="CQ34" s="60">
        <v>1125147</v>
      </c>
      <c r="CR34" s="60">
        <v>4292723</v>
      </c>
      <c r="CS34" s="60">
        <f t="shared" si="66"/>
        <v>5417870</v>
      </c>
      <c r="CT34" s="60"/>
      <c r="CU34" s="60"/>
      <c r="CV34" s="60">
        <v>10832038</v>
      </c>
      <c r="CW34" s="60">
        <v>618286</v>
      </c>
      <c r="CX34" s="60">
        <v>2010986</v>
      </c>
      <c r="CY34" s="60">
        <f t="shared" si="67"/>
        <v>2629272</v>
      </c>
    </row>
    <row r="35" spans="1:103" x14ac:dyDescent="0.25">
      <c r="A35" s="61" t="s">
        <v>207</v>
      </c>
      <c r="B35" s="60"/>
      <c r="C35" s="60"/>
      <c r="D35" s="60">
        <f t="shared" si="38"/>
        <v>0</v>
      </c>
      <c r="E35" s="60"/>
      <c r="F35" s="60"/>
      <c r="G35" s="60">
        <f t="shared" si="39"/>
        <v>0</v>
      </c>
      <c r="H35" s="60"/>
      <c r="I35" s="60"/>
      <c r="J35" s="60">
        <v>100000</v>
      </c>
      <c r="K35" s="60"/>
      <c r="L35" s="60"/>
      <c r="M35" s="60">
        <f t="shared" si="40"/>
        <v>0</v>
      </c>
      <c r="N35" s="60"/>
      <c r="O35" s="60"/>
      <c r="P35" s="60">
        <f t="shared" si="41"/>
        <v>0</v>
      </c>
      <c r="Q35" s="60">
        <f>-18386+57060</f>
        <v>38674</v>
      </c>
      <c r="R35" s="60">
        <f>-126614+392940</f>
        <v>266326</v>
      </c>
      <c r="S35" s="60">
        <f t="shared" si="42"/>
        <v>305000</v>
      </c>
      <c r="T35" s="60">
        <v>97753</v>
      </c>
      <c r="U35" s="60">
        <v>1029402</v>
      </c>
      <c r="V35" s="60">
        <f t="shared" si="43"/>
        <v>1127155</v>
      </c>
      <c r="W35" s="60">
        <v>74720</v>
      </c>
      <c r="X35" s="60"/>
      <c r="Y35" s="60">
        <f t="shared" si="44"/>
        <v>74720</v>
      </c>
      <c r="Z35" s="60">
        <v>102245</v>
      </c>
      <c r="AA35" s="60">
        <v>1082</v>
      </c>
      <c r="AB35" s="60">
        <f t="shared" si="45"/>
        <v>103327</v>
      </c>
      <c r="AC35" s="60">
        <v>286457.34999999998</v>
      </c>
      <c r="AD35" s="60">
        <v>412219.12</v>
      </c>
      <c r="AE35" s="60">
        <f t="shared" si="46"/>
        <v>698676.47</v>
      </c>
      <c r="AF35" s="60">
        <v>72477</v>
      </c>
      <c r="AG35" s="60">
        <v>269885</v>
      </c>
      <c r="AH35" s="60">
        <f t="shared" si="47"/>
        <v>342362</v>
      </c>
      <c r="AI35" s="60"/>
      <c r="AJ35" s="60"/>
      <c r="AK35" s="60">
        <f t="shared" si="48"/>
        <v>0</v>
      </c>
      <c r="AL35" s="60">
        <v>19786</v>
      </c>
      <c r="AM35" s="60">
        <v>85214</v>
      </c>
      <c r="AN35" s="60">
        <f t="shared" si="49"/>
        <v>105000</v>
      </c>
      <c r="AO35" s="60"/>
      <c r="AP35" s="60"/>
      <c r="AQ35" s="60">
        <f t="shared" si="50"/>
        <v>0</v>
      </c>
      <c r="AR35" s="60">
        <f>266394-26634</f>
        <v>239760</v>
      </c>
      <c r="AS35" s="60">
        <f>883794-88365</f>
        <v>795429</v>
      </c>
      <c r="AT35" s="60">
        <f t="shared" si="51"/>
        <v>1035189</v>
      </c>
      <c r="AU35" s="60"/>
      <c r="AV35" s="60"/>
      <c r="AW35" s="60">
        <f t="shared" si="52"/>
        <v>0</v>
      </c>
      <c r="AX35" s="60"/>
      <c r="AY35" s="60"/>
      <c r="AZ35" s="60">
        <f t="shared" si="53"/>
        <v>0</v>
      </c>
      <c r="BA35" s="60">
        <v>6590</v>
      </c>
      <c r="BB35" s="60">
        <v>43410</v>
      </c>
      <c r="BC35" s="60">
        <f t="shared" si="54"/>
        <v>50000</v>
      </c>
      <c r="BD35" s="60"/>
      <c r="BE35" s="60">
        <v>42500</v>
      </c>
      <c r="BF35" s="60">
        <f t="shared" si="55"/>
        <v>42500</v>
      </c>
      <c r="BG35" s="60"/>
      <c r="BH35" s="60"/>
      <c r="BI35" s="60">
        <f t="shared" si="56"/>
        <v>0</v>
      </c>
      <c r="BJ35" s="60"/>
      <c r="BK35" s="60"/>
      <c r="BL35" s="60">
        <f t="shared" si="57"/>
        <v>0</v>
      </c>
      <c r="BM35" s="60">
        <v>35528</v>
      </c>
      <c r="BN35" s="60">
        <v>71098</v>
      </c>
      <c r="BO35" s="60">
        <f t="shared" si="58"/>
        <v>106626</v>
      </c>
      <c r="BP35" s="60"/>
      <c r="BQ35" s="60"/>
      <c r="BR35" s="60">
        <f t="shared" si="68"/>
        <v>0</v>
      </c>
      <c r="BS35" s="60"/>
      <c r="BT35" s="60"/>
      <c r="BU35" s="60">
        <f t="shared" si="59"/>
        <v>0</v>
      </c>
      <c r="BV35" s="60">
        <f>179987-34068</f>
        <v>145919</v>
      </c>
      <c r="BW35" s="60">
        <f>-210932+1114341</f>
        <v>903409</v>
      </c>
      <c r="BX35" s="60">
        <f t="shared" si="60"/>
        <v>1049328</v>
      </c>
      <c r="BY35" s="60"/>
      <c r="BZ35" s="60"/>
      <c r="CA35" s="60">
        <f t="shared" si="61"/>
        <v>0</v>
      </c>
      <c r="CB35" s="60"/>
      <c r="CC35" s="60"/>
      <c r="CD35" s="60">
        <v>0</v>
      </c>
      <c r="CE35" s="60">
        <v>187855</v>
      </c>
      <c r="CF35" s="60">
        <v>761367</v>
      </c>
      <c r="CG35" s="60">
        <f t="shared" si="62"/>
        <v>949222</v>
      </c>
      <c r="CH35" s="60"/>
      <c r="CI35" s="60"/>
      <c r="CJ35" s="60">
        <f t="shared" si="63"/>
        <v>0</v>
      </c>
      <c r="CK35" s="60"/>
      <c r="CL35" s="60"/>
      <c r="CM35" s="60">
        <f t="shared" si="64"/>
        <v>0</v>
      </c>
      <c r="CN35" s="60"/>
      <c r="CO35" s="60"/>
      <c r="CP35" s="60">
        <f t="shared" si="65"/>
        <v>0</v>
      </c>
      <c r="CQ35" s="60">
        <v>156764</v>
      </c>
      <c r="CR35" s="60">
        <v>598096</v>
      </c>
      <c r="CS35" s="60">
        <f t="shared" si="66"/>
        <v>754860</v>
      </c>
      <c r="CT35" s="60"/>
      <c r="CU35" s="60"/>
      <c r="CV35" s="60">
        <v>871050</v>
      </c>
      <c r="CW35" s="60">
        <v>35273</v>
      </c>
      <c r="CX35" s="60">
        <v>114727</v>
      </c>
      <c r="CY35" s="60">
        <f t="shared" si="67"/>
        <v>150000</v>
      </c>
    </row>
    <row r="36" spans="1:103" s="63" customFormat="1" x14ac:dyDescent="0.25">
      <c r="A36" s="59" t="s">
        <v>210</v>
      </c>
      <c r="B36" s="62">
        <f>SUM(B22:B35)</f>
        <v>347374</v>
      </c>
      <c r="C36" s="62">
        <f t="shared" ref="C36:BN36" si="72">SUM(C22:C35)</f>
        <v>532478</v>
      </c>
      <c r="D36" s="62">
        <f t="shared" si="72"/>
        <v>879852</v>
      </c>
      <c r="E36" s="62">
        <f t="shared" si="72"/>
        <v>249143</v>
      </c>
      <c r="F36" s="62">
        <f t="shared" si="72"/>
        <v>1262209</v>
      </c>
      <c r="G36" s="62">
        <f t="shared" si="72"/>
        <v>1511352</v>
      </c>
      <c r="H36" s="62">
        <f t="shared" si="72"/>
        <v>0</v>
      </c>
      <c r="I36" s="62">
        <f t="shared" si="72"/>
        <v>0</v>
      </c>
      <c r="J36" s="62">
        <f t="shared" si="72"/>
        <v>40948117</v>
      </c>
      <c r="K36" s="62">
        <f t="shared" si="72"/>
        <v>0</v>
      </c>
      <c r="L36" s="62">
        <f t="shared" si="72"/>
        <v>3759518</v>
      </c>
      <c r="M36" s="62">
        <f t="shared" si="72"/>
        <v>3759518</v>
      </c>
      <c r="N36" s="62">
        <f t="shared" si="72"/>
        <v>4185089</v>
      </c>
      <c r="O36" s="62">
        <f t="shared" si="72"/>
        <v>24401696</v>
      </c>
      <c r="P36" s="62">
        <f t="shared" si="72"/>
        <v>28586785</v>
      </c>
      <c r="Q36" s="62">
        <f t="shared" si="72"/>
        <v>969472</v>
      </c>
      <c r="R36" s="62">
        <f t="shared" si="72"/>
        <v>6676199</v>
      </c>
      <c r="S36" s="62">
        <f t="shared" si="72"/>
        <v>7645671</v>
      </c>
      <c r="T36" s="62">
        <f t="shared" si="72"/>
        <v>966491</v>
      </c>
      <c r="U36" s="62">
        <f t="shared" si="72"/>
        <v>10177771</v>
      </c>
      <c r="V36" s="62">
        <f t="shared" si="72"/>
        <v>11144262</v>
      </c>
      <c r="W36" s="62">
        <f t="shared" si="72"/>
        <v>98889</v>
      </c>
      <c r="X36" s="62">
        <f t="shared" si="72"/>
        <v>538927</v>
      </c>
      <c r="Y36" s="62">
        <f t="shared" si="72"/>
        <v>637816</v>
      </c>
      <c r="Z36" s="62">
        <f t="shared" si="72"/>
        <v>511143</v>
      </c>
      <c r="AA36" s="62">
        <f t="shared" si="72"/>
        <v>25593</v>
      </c>
      <c r="AB36" s="62">
        <f t="shared" si="72"/>
        <v>536736</v>
      </c>
      <c r="AC36" s="62">
        <f t="shared" si="72"/>
        <v>5864431.0599999996</v>
      </c>
      <c r="AD36" s="62">
        <f t="shared" si="72"/>
        <v>8439059.3200000003</v>
      </c>
      <c r="AE36" s="62">
        <f t="shared" si="72"/>
        <v>14303490.380000001</v>
      </c>
      <c r="AF36" s="62">
        <f t="shared" si="72"/>
        <v>834460</v>
      </c>
      <c r="AG36" s="62">
        <f t="shared" si="72"/>
        <v>3107314</v>
      </c>
      <c r="AH36" s="62">
        <f t="shared" si="72"/>
        <v>3941774</v>
      </c>
      <c r="AI36" s="62">
        <f t="shared" si="72"/>
        <v>200314</v>
      </c>
      <c r="AJ36" s="62">
        <f t="shared" si="72"/>
        <v>2513893</v>
      </c>
      <c r="AK36" s="62">
        <f t="shared" si="72"/>
        <v>2714207</v>
      </c>
      <c r="AL36" s="62">
        <f t="shared" si="72"/>
        <v>2646757</v>
      </c>
      <c r="AM36" s="62">
        <f t="shared" si="72"/>
        <v>11399271</v>
      </c>
      <c r="AN36" s="62">
        <f t="shared" si="72"/>
        <v>14046028</v>
      </c>
      <c r="AO36" s="62">
        <f t="shared" si="72"/>
        <v>7128737</v>
      </c>
      <c r="AP36" s="62">
        <f t="shared" si="72"/>
        <v>23189480</v>
      </c>
      <c r="AQ36" s="62">
        <f t="shared" si="72"/>
        <v>30318217</v>
      </c>
      <c r="AR36" s="62">
        <f t="shared" si="72"/>
        <v>5074281</v>
      </c>
      <c r="AS36" s="62">
        <f t="shared" si="72"/>
        <v>16834515</v>
      </c>
      <c r="AT36" s="62">
        <f t="shared" si="72"/>
        <v>21908796</v>
      </c>
      <c r="AU36" s="62">
        <f t="shared" si="72"/>
        <v>87391</v>
      </c>
      <c r="AV36" s="62">
        <f t="shared" si="72"/>
        <v>237845</v>
      </c>
      <c r="AW36" s="62">
        <f t="shared" si="72"/>
        <v>325236</v>
      </c>
      <c r="AX36" s="62">
        <f t="shared" si="72"/>
        <v>1750695</v>
      </c>
      <c r="AY36" s="62">
        <f t="shared" si="72"/>
        <v>4858593</v>
      </c>
      <c r="AZ36" s="62">
        <f t="shared" si="72"/>
        <v>6609288</v>
      </c>
      <c r="BA36" s="62">
        <f t="shared" si="72"/>
        <v>383401</v>
      </c>
      <c r="BB36" s="62">
        <f t="shared" si="72"/>
        <v>2525681</v>
      </c>
      <c r="BC36" s="62">
        <f t="shared" si="72"/>
        <v>2909082</v>
      </c>
      <c r="BD36" s="62">
        <f t="shared" si="72"/>
        <v>364152</v>
      </c>
      <c r="BE36" s="62">
        <f t="shared" si="72"/>
        <v>776822</v>
      </c>
      <c r="BF36" s="62">
        <f t="shared" si="72"/>
        <v>1140974</v>
      </c>
      <c r="BG36" s="62">
        <f t="shared" si="72"/>
        <v>775048</v>
      </c>
      <c r="BH36" s="62">
        <f t="shared" si="72"/>
        <v>2485101</v>
      </c>
      <c r="BI36" s="62">
        <f t="shared" si="72"/>
        <v>3260149</v>
      </c>
      <c r="BJ36" s="62">
        <f t="shared" si="72"/>
        <v>0</v>
      </c>
      <c r="BK36" s="62">
        <f t="shared" si="72"/>
        <v>27380321</v>
      </c>
      <c r="BL36" s="62">
        <f t="shared" si="72"/>
        <v>27380321</v>
      </c>
      <c r="BM36" s="62">
        <f t="shared" si="72"/>
        <v>16675433</v>
      </c>
      <c r="BN36" s="62">
        <f t="shared" si="72"/>
        <v>33370587</v>
      </c>
      <c r="BO36" s="62">
        <f t="shared" ref="BO36:CY36" si="73">SUM(BO22:BO35)</f>
        <v>50046020</v>
      </c>
      <c r="BP36" s="62">
        <f t="shared" si="73"/>
        <v>0</v>
      </c>
      <c r="BQ36" s="62">
        <f t="shared" si="73"/>
        <v>0</v>
      </c>
      <c r="BR36" s="62">
        <f t="shared" si="73"/>
        <v>26449428</v>
      </c>
      <c r="BS36" s="62">
        <f t="shared" si="73"/>
        <v>555155</v>
      </c>
      <c r="BT36" s="62">
        <f t="shared" si="73"/>
        <v>1069583</v>
      </c>
      <c r="BU36" s="62">
        <f t="shared" si="73"/>
        <v>1624738</v>
      </c>
      <c r="BV36" s="62">
        <f t="shared" si="73"/>
        <v>2568908</v>
      </c>
      <c r="BW36" s="62">
        <f t="shared" si="73"/>
        <v>15905202</v>
      </c>
      <c r="BX36" s="62">
        <f t="shared" si="73"/>
        <v>18474110</v>
      </c>
      <c r="BY36" s="62">
        <f t="shared" ref="BY36:CA36" si="74">SUM(BY22:BY35)</f>
        <v>0</v>
      </c>
      <c r="BZ36" s="62">
        <f t="shared" si="74"/>
        <v>0</v>
      </c>
      <c r="CA36" s="62">
        <f t="shared" si="74"/>
        <v>0</v>
      </c>
      <c r="CB36" s="62">
        <f t="shared" si="73"/>
        <v>0</v>
      </c>
      <c r="CC36" s="62">
        <f t="shared" si="73"/>
        <v>0</v>
      </c>
      <c r="CD36" s="62">
        <f t="shared" si="73"/>
        <v>3132362</v>
      </c>
      <c r="CE36" s="62">
        <f t="shared" si="73"/>
        <v>2470252</v>
      </c>
      <c r="CF36" s="62">
        <f t="shared" si="73"/>
        <v>10011836</v>
      </c>
      <c r="CG36" s="62">
        <f t="shared" si="73"/>
        <v>12482088</v>
      </c>
      <c r="CH36" s="62">
        <f t="shared" si="73"/>
        <v>399822</v>
      </c>
      <c r="CI36" s="62">
        <f t="shared" si="73"/>
        <v>13767598</v>
      </c>
      <c r="CJ36" s="62">
        <f t="shared" si="73"/>
        <v>14167420</v>
      </c>
      <c r="CK36" s="62">
        <f t="shared" si="73"/>
        <v>190657</v>
      </c>
      <c r="CL36" s="62">
        <f t="shared" si="73"/>
        <v>17262045</v>
      </c>
      <c r="CM36" s="62">
        <f t="shared" si="73"/>
        <v>17452702</v>
      </c>
      <c r="CN36" s="62">
        <f t="shared" si="73"/>
        <v>890603</v>
      </c>
      <c r="CO36" s="62">
        <f t="shared" si="73"/>
        <v>3064077</v>
      </c>
      <c r="CP36" s="62">
        <f t="shared" si="73"/>
        <v>3954680</v>
      </c>
      <c r="CQ36" s="62">
        <f t="shared" si="73"/>
        <v>3089372</v>
      </c>
      <c r="CR36" s="62">
        <f t="shared" si="73"/>
        <v>11786737</v>
      </c>
      <c r="CS36" s="62">
        <f t="shared" si="73"/>
        <v>14876109</v>
      </c>
      <c r="CT36" s="62">
        <f t="shared" ref="CT36:CV36" si="75">SUM(CT22:CT35)</f>
        <v>0</v>
      </c>
      <c r="CU36" s="62">
        <f t="shared" si="75"/>
        <v>0</v>
      </c>
      <c r="CV36" s="62">
        <f t="shared" si="75"/>
        <v>37112205</v>
      </c>
      <c r="CW36" s="62">
        <f t="shared" si="73"/>
        <v>2066957</v>
      </c>
      <c r="CX36" s="62">
        <f t="shared" si="73"/>
        <v>6722813</v>
      </c>
      <c r="CY36" s="62">
        <f t="shared" si="73"/>
        <v>8789770</v>
      </c>
    </row>
    <row r="37" spans="1:103" s="63" customFormat="1" x14ac:dyDescent="0.25">
      <c r="A37" s="59" t="s">
        <v>55</v>
      </c>
      <c r="B37" s="62">
        <f>B36+B20</f>
        <v>1617351</v>
      </c>
      <c r="C37" s="62">
        <f t="shared" ref="C37:BN37" si="76">C36+C20</f>
        <v>2479175</v>
      </c>
      <c r="D37" s="62">
        <f t="shared" si="76"/>
        <v>4096526</v>
      </c>
      <c r="E37" s="62">
        <f t="shared" si="76"/>
        <v>2509978</v>
      </c>
      <c r="F37" s="62">
        <f t="shared" si="76"/>
        <v>5174170</v>
      </c>
      <c r="G37" s="62">
        <f t="shared" si="76"/>
        <v>7684148</v>
      </c>
      <c r="H37" s="62">
        <f t="shared" si="76"/>
        <v>0</v>
      </c>
      <c r="I37" s="62">
        <f t="shared" si="76"/>
        <v>0</v>
      </c>
      <c r="J37" s="62">
        <f t="shared" si="76"/>
        <v>80539923</v>
      </c>
      <c r="K37" s="62">
        <f t="shared" si="76"/>
        <v>2480869</v>
      </c>
      <c r="L37" s="62">
        <f t="shared" si="76"/>
        <v>13871274</v>
      </c>
      <c r="M37" s="62">
        <f t="shared" si="76"/>
        <v>16352143</v>
      </c>
      <c r="N37" s="62">
        <f t="shared" si="76"/>
        <v>34843708</v>
      </c>
      <c r="O37" s="62">
        <f t="shared" si="76"/>
        <v>145530272</v>
      </c>
      <c r="P37" s="62">
        <f t="shared" si="76"/>
        <v>180373980</v>
      </c>
      <c r="Q37" s="62">
        <f t="shared" si="76"/>
        <v>6299928</v>
      </c>
      <c r="R37" s="62">
        <f t="shared" si="76"/>
        <v>43384048</v>
      </c>
      <c r="S37" s="62">
        <f t="shared" si="76"/>
        <v>49683976</v>
      </c>
      <c r="T37" s="62">
        <f t="shared" si="76"/>
        <v>7606031</v>
      </c>
      <c r="U37" s="62">
        <f t="shared" si="76"/>
        <v>80096322</v>
      </c>
      <c r="V37" s="62">
        <f t="shared" si="76"/>
        <v>87702353</v>
      </c>
      <c r="W37" s="62">
        <f t="shared" si="76"/>
        <v>445221</v>
      </c>
      <c r="X37" s="62">
        <f t="shared" si="76"/>
        <v>1990791</v>
      </c>
      <c r="Y37" s="62">
        <f t="shared" si="76"/>
        <v>2436012</v>
      </c>
      <c r="Z37" s="62">
        <f t="shared" si="76"/>
        <v>1403063</v>
      </c>
      <c r="AA37" s="62">
        <f t="shared" si="76"/>
        <v>1202037</v>
      </c>
      <c r="AB37" s="62">
        <f t="shared" si="76"/>
        <v>2605100</v>
      </c>
      <c r="AC37" s="62">
        <f t="shared" si="76"/>
        <v>44376910.759999998</v>
      </c>
      <c r="AD37" s="62">
        <f t="shared" si="76"/>
        <v>63859456.960000008</v>
      </c>
      <c r="AE37" s="62">
        <f t="shared" si="76"/>
        <v>108236367.72000001</v>
      </c>
      <c r="AF37" s="62">
        <f t="shared" si="76"/>
        <v>8941326</v>
      </c>
      <c r="AG37" s="62">
        <f t="shared" si="76"/>
        <v>33295225</v>
      </c>
      <c r="AH37" s="62">
        <f t="shared" si="76"/>
        <v>42236551</v>
      </c>
      <c r="AI37" s="62">
        <f t="shared" si="76"/>
        <v>6936068</v>
      </c>
      <c r="AJ37" s="62">
        <f t="shared" si="76"/>
        <v>19254681</v>
      </c>
      <c r="AK37" s="62">
        <f t="shared" si="76"/>
        <v>26190749</v>
      </c>
      <c r="AL37" s="62">
        <f t="shared" si="76"/>
        <v>20538764</v>
      </c>
      <c r="AM37" s="62">
        <f t="shared" si="76"/>
        <v>88458019</v>
      </c>
      <c r="AN37" s="62">
        <f t="shared" si="76"/>
        <v>108996783</v>
      </c>
      <c r="AO37" s="62">
        <f t="shared" si="76"/>
        <v>57156079</v>
      </c>
      <c r="AP37" s="62">
        <f t="shared" si="76"/>
        <v>191296536</v>
      </c>
      <c r="AQ37" s="62">
        <f t="shared" si="76"/>
        <v>248452615</v>
      </c>
      <c r="AR37" s="62">
        <f t="shared" si="76"/>
        <v>22437316</v>
      </c>
      <c r="AS37" s="62">
        <f t="shared" si="76"/>
        <v>74438396</v>
      </c>
      <c r="AT37" s="62">
        <f t="shared" si="76"/>
        <v>96875712</v>
      </c>
      <c r="AU37" s="62">
        <f t="shared" si="76"/>
        <v>1633122</v>
      </c>
      <c r="AV37" s="62">
        <f t="shared" si="76"/>
        <v>4731802</v>
      </c>
      <c r="AW37" s="62">
        <f t="shared" si="76"/>
        <v>6364924</v>
      </c>
      <c r="AX37" s="62">
        <f t="shared" si="76"/>
        <v>6648889</v>
      </c>
      <c r="AY37" s="62">
        <f t="shared" si="76"/>
        <v>18506277</v>
      </c>
      <c r="AZ37" s="62">
        <f t="shared" si="76"/>
        <v>25155166</v>
      </c>
      <c r="BA37" s="62">
        <f t="shared" si="76"/>
        <v>2787629</v>
      </c>
      <c r="BB37" s="62">
        <f t="shared" si="76"/>
        <v>18363648</v>
      </c>
      <c r="BC37" s="62">
        <f t="shared" si="76"/>
        <v>21151277</v>
      </c>
      <c r="BD37" s="62">
        <f t="shared" si="76"/>
        <v>1877636</v>
      </c>
      <c r="BE37" s="62">
        <f t="shared" si="76"/>
        <v>3797217</v>
      </c>
      <c r="BF37" s="62">
        <f t="shared" si="76"/>
        <v>5674853</v>
      </c>
      <c r="BG37" s="62">
        <f t="shared" si="76"/>
        <v>3651700</v>
      </c>
      <c r="BH37" s="62">
        <f t="shared" si="76"/>
        <v>6457096</v>
      </c>
      <c r="BI37" s="62">
        <f t="shared" si="76"/>
        <v>10108796</v>
      </c>
      <c r="BJ37" s="62">
        <f t="shared" si="76"/>
        <v>0</v>
      </c>
      <c r="BK37" s="62">
        <f t="shared" si="76"/>
        <v>226898496</v>
      </c>
      <c r="BL37" s="62">
        <f t="shared" si="76"/>
        <v>226898496</v>
      </c>
      <c r="BM37" s="62">
        <f t="shared" si="76"/>
        <v>201298020</v>
      </c>
      <c r="BN37" s="62">
        <f t="shared" si="76"/>
        <v>390912413</v>
      </c>
      <c r="BO37" s="62">
        <f t="shared" ref="BO37:CY37" si="77">BO36+BO20</f>
        <v>592210433</v>
      </c>
      <c r="BP37" s="62">
        <f t="shared" si="77"/>
        <v>0</v>
      </c>
      <c r="BQ37" s="62">
        <f t="shared" si="77"/>
        <v>0</v>
      </c>
      <c r="BR37" s="62">
        <f t="shared" si="77"/>
        <v>228429185</v>
      </c>
      <c r="BS37" s="62">
        <f t="shared" si="77"/>
        <v>1493562</v>
      </c>
      <c r="BT37" s="62">
        <f t="shared" si="77"/>
        <v>2877553</v>
      </c>
      <c r="BU37" s="62">
        <f t="shared" si="77"/>
        <v>4371115</v>
      </c>
      <c r="BV37" s="62">
        <f t="shared" si="77"/>
        <v>14637053</v>
      </c>
      <c r="BW37" s="62">
        <f t="shared" si="77"/>
        <v>90624406</v>
      </c>
      <c r="BX37" s="62">
        <f t="shared" si="77"/>
        <v>105261459</v>
      </c>
      <c r="BY37" s="62">
        <f t="shared" ref="BY37:CA37" si="78">BY36+BY20</f>
        <v>0</v>
      </c>
      <c r="BZ37" s="62">
        <f t="shared" si="78"/>
        <v>0</v>
      </c>
      <c r="CA37" s="62">
        <f t="shared" si="78"/>
        <v>0</v>
      </c>
      <c r="CB37" s="62">
        <f t="shared" si="77"/>
        <v>0</v>
      </c>
      <c r="CC37" s="62">
        <f t="shared" si="77"/>
        <v>0</v>
      </c>
      <c r="CD37" s="62">
        <f t="shared" si="77"/>
        <v>16317187</v>
      </c>
      <c r="CE37" s="62">
        <f t="shared" si="77"/>
        <v>11104123</v>
      </c>
      <c r="CF37" s="62">
        <f t="shared" si="77"/>
        <v>45004582</v>
      </c>
      <c r="CG37" s="62">
        <f t="shared" si="77"/>
        <v>56108705</v>
      </c>
      <c r="CH37" s="62">
        <f t="shared" si="77"/>
        <v>17872674</v>
      </c>
      <c r="CI37" s="62">
        <f t="shared" si="77"/>
        <v>52127123</v>
      </c>
      <c r="CJ37" s="62">
        <f t="shared" si="77"/>
        <v>69999797</v>
      </c>
      <c r="CK37" s="62">
        <f t="shared" si="77"/>
        <v>13480652</v>
      </c>
      <c r="CL37" s="62">
        <f t="shared" si="77"/>
        <v>79146143</v>
      </c>
      <c r="CM37" s="62">
        <f t="shared" si="77"/>
        <v>92626795</v>
      </c>
      <c r="CN37" s="62">
        <f t="shared" si="77"/>
        <v>14675958</v>
      </c>
      <c r="CO37" s="62">
        <f t="shared" si="77"/>
        <v>23067700</v>
      </c>
      <c r="CP37" s="62">
        <f t="shared" si="77"/>
        <v>37743658</v>
      </c>
      <c r="CQ37" s="62">
        <f t="shared" si="77"/>
        <v>24845187</v>
      </c>
      <c r="CR37" s="62">
        <f t="shared" si="77"/>
        <v>95345325</v>
      </c>
      <c r="CS37" s="62">
        <f t="shared" si="77"/>
        <v>120190512</v>
      </c>
      <c r="CT37" s="62">
        <f t="shared" ref="CT37:CV37" si="79">CT36+CT20</f>
        <v>0</v>
      </c>
      <c r="CU37" s="62">
        <f t="shared" si="79"/>
        <v>0</v>
      </c>
      <c r="CV37" s="62">
        <f t="shared" si="79"/>
        <v>310256925</v>
      </c>
      <c r="CW37" s="62">
        <f t="shared" si="77"/>
        <v>6976082</v>
      </c>
      <c r="CX37" s="62">
        <f t="shared" si="77"/>
        <v>22689793</v>
      </c>
      <c r="CY37" s="62">
        <f t="shared" si="77"/>
        <v>29665875</v>
      </c>
    </row>
  </sheetData>
  <mergeCells count="35">
    <mergeCell ref="CQ3:CS3"/>
    <mergeCell ref="CW3:CY3"/>
    <mergeCell ref="BY3:CA3"/>
    <mergeCell ref="Q3:S3"/>
    <mergeCell ref="BA3:BC3"/>
    <mergeCell ref="T3:V3"/>
    <mergeCell ref="W3:Y3"/>
    <mergeCell ref="Z3:AB3"/>
    <mergeCell ref="AC3:AE3"/>
    <mergeCell ref="AF3:AH3"/>
    <mergeCell ref="AI3:AK3"/>
    <mergeCell ref="AL3:AN3"/>
    <mergeCell ref="AO3:AQ3"/>
    <mergeCell ref="CT3:CV3"/>
    <mergeCell ref="CK3:CM3"/>
    <mergeCell ref="CN3:CP3"/>
    <mergeCell ref="CB3:CD3"/>
    <mergeCell ref="CE3:CG3"/>
    <mergeCell ref="CH3:CJ3"/>
    <mergeCell ref="AR3:AT3"/>
    <mergeCell ref="AU3:AW3"/>
    <mergeCell ref="AX3:AZ3"/>
    <mergeCell ref="BD3:BF3"/>
    <mergeCell ref="BG3:BI3"/>
    <mergeCell ref="BJ3:BL3"/>
    <mergeCell ref="BM3:BO3"/>
    <mergeCell ref="BP3:BR3"/>
    <mergeCell ref="BS3:BU3"/>
    <mergeCell ref="A3:A4"/>
    <mergeCell ref="BV3:BX3"/>
    <mergeCell ref="B3:D3"/>
    <mergeCell ref="E3:G3"/>
    <mergeCell ref="H3:J3"/>
    <mergeCell ref="K3:M3"/>
    <mergeCell ref="N3:P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NL1</vt:lpstr>
      <vt:lpstr>NL2</vt:lpstr>
      <vt:lpstr>NL3</vt:lpstr>
      <vt:lpstr>NL4</vt:lpstr>
      <vt:lpstr>NL5</vt:lpstr>
      <vt:lpstr>NL6</vt:lpstr>
      <vt:lpstr>NL7</vt:lpstr>
      <vt:lpstr>NL10</vt:lpstr>
      <vt:lpstr>NL12</vt:lpstr>
      <vt:lpstr>NL13</vt:lpstr>
      <vt:lpstr>NL14</vt:lpstr>
      <vt:lpstr>NL15</vt:lpstr>
      <vt:lpstr>NL17</vt:lpstr>
      <vt:lpstr>NL23</vt:lpstr>
      <vt:lpstr>NL25</vt:lpstr>
      <vt:lpstr>NL30</vt:lpstr>
      <vt:lpstr>NL33</vt:lpstr>
      <vt:lpstr>NL40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2020-10-27T09:47:01Z</dcterms:modified>
</cp:coreProperties>
</file>